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gnyte\Private\jeanca2\MGFF\Resources\Grocery\"/>
    </mc:Choice>
  </mc:AlternateContent>
  <xr:revisionPtr revIDLastSave="0" documentId="13_ncr:1_{057378AF-3353-4D67-955E-8B7079C3E19A}" xr6:coauthVersionLast="47" xr6:coauthVersionMax="47" xr10:uidLastSave="{00000000-0000-0000-0000-000000000000}"/>
  <bookViews>
    <workbookView xWindow="-120" yWindow="-120" windowWidth="38640" windowHeight="21120" xr2:uid="{8C675779-FB89-4080-9587-8E1CDBDA7F8F}"/>
  </bookViews>
  <sheets>
    <sheet name="Instructions" sheetId="9" r:id="rId1"/>
    <sheet name="Lease Information" sheetId="11" r:id="rId2"/>
    <sheet name="Revenue Assumptions" sheetId="1" r:id="rId3"/>
    <sheet name="Start-Up Expense Assumptions" sheetId="6" r:id="rId4"/>
    <sheet name="Operating Expense Assumptions" sheetId="7" r:id="rId5"/>
    <sheet name="Financing Assumptions" sheetId="8" r:id="rId6"/>
    <sheet name="Summary Dashboard" sheetId="4" r:id="rId7"/>
    <sheet name="Income Statement (Yr)" sheetId="2" r:id="rId8"/>
    <sheet name="Income Statement (Weekly - Y1)" sheetId="5" r:id="rId9"/>
    <sheet name="Income Statement (Seasonality)" sheetId="10" r:id="rId10"/>
    <sheet name="Balance Sheet" sheetId="3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0" l="1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C24" i="10"/>
  <c r="BC24" i="10" s="1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C24" i="5"/>
  <c r="BC24" i="5" s="1"/>
  <c r="C53" i="8"/>
  <c r="C30" i="7"/>
  <c r="C32" i="7" s="1"/>
  <c r="C25" i="7"/>
  <c r="C27" i="7" s="1"/>
  <c r="C5" i="7"/>
  <c r="C7" i="7" s="1"/>
  <c r="C182" i="6"/>
  <c r="C185" i="6" s="1"/>
  <c r="C176" i="6"/>
  <c r="C179" i="6" s="1"/>
  <c r="C152" i="6"/>
  <c r="C155" i="6" s="1"/>
  <c r="C129" i="6"/>
  <c r="C125" i="6"/>
  <c r="E62" i="6"/>
  <c r="C20" i="6"/>
  <c r="C9" i="11"/>
  <c r="C24" i="1" s="1"/>
  <c r="S6" i="8" l="1"/>
  <c r="I31" i="2" s="1"/>
  <c r="J9" i="8"/>
  <c r="J10" i="8"/>
  <c r="J11" i="8"/>
  <c r="J12" i="8"/>
  <c r="J13" i="8"/>
  <c r="J14" i="8"/>
  <c r="J15" i="8"/>
  <c r="J16" i="8"/>
  <c r="J17" i="8"/>
  <c r="J8" i="8"/>
  <c r="J7" i="8"/>
  <c r="E1" i="10" l="1"/>
  <c r="I9" i="8"/>
  <c r="K9" i="8" s="1"/>
  <c r="I10" i="8"/>
  <c r="K10" i="8" s="1"/>
  <c r="I11" i="8"/>
  <c r="K11" i="8" s="1"/>
  <c r="I12" i="8"/>
  <c r="K12" i="8" s="1"/>
  <c r="I13" i="8"/>
  <c r="K13" i="8" s="1"/>
  <c r="I14" i="8"/>
  <c r="K14" i="8" s="1"/>
  <c r="I15" i="8"/>
  <c r="K15" i="8" s="1"/>
  <c r="I16" i="8"/>
  <c r="K16" i="8" s="1"/>
  <c r="I17" i="8"/>
  <c r="K17" i="8" s="1"/>
  <c r="I8" i="8"/>
  <c r="K8" i="8" s="1"/>
  <c r="C6" i="1"/>
  <c r="C7" i="1" s="1"/>
  <c r="C9" i="1" s="1"/>
  <c r="Q6" i="8" l="1"/>
  <c r="G31" i="2" s="1"/>
  <c r="O6" i="8"/>
  <c r="P6" i="8"/>
  <c r="F31" i="2" s="1"/>
  <c r="R6" i="8"/>
  <c r="H31" i="2" s="1"/>
  <c r="N6" i="8"/>
  <c r="U6" i="8"/>
  <c r="K31" i="2" s="1"/>
  <c r="T6" i="8"/>
  <c r="J31" i="2" s="1"/>
  <c r="W6" i="8"/>
  <c r="M31" i="2" s="1"/>
  <c r="V6" i="8"/>
  <c r="L31" i="2" s="1"/>
  <c r="C16" i="2"/>
  <c r="D23" i="10" l="1"/>
  <c r="H23" i="10"/>
  <c r="L23" i="10"/>
  <c r="P23" i="10"/>
  <c r="T23" i="10"/>
  <c r="X23" i="10"/>
  <c r="AB23" i="10"/>
  <c r="AF23" i="10"/>
  <c r="AJ23" i="10"/>
  <c r="AN23" i="10"/>
  <c r="AR23" i="10"/>
  <c r="AV23" i="10"/>
  <c r="AZ23" i="10"/>
  <c r="E31" i="2"/>
  <c r="E23" i="10"/>
  <c r="I23" i="10"/>
  <c r="M23" i="10"/>
  <c r="Q23" i="10"/>
  <c r="U23" i="10"/>
  <c r="Y23" i="10"/>
  <c r="AC23" i="10"/>
  <c r="AG23" i="10"/>
  <c r="AK23" i="10"/>
  <c r="AO23" i="10"/>
  <c r="AS23" i="10"/>
  <c r="AW23" i="10"/>
  <c r="BA23" i="10"/>
  <c r="F23" i="10"/>
  <c r="J23" i="10"/>
  <c r="N23" i="10"/>
  <c r="R23" i="10"/>
  <c r="V23" i="10"/>
  <c r="Z23" i="10"/>
  <c r="AD23" i="10"/>
  <c r="AH23" i="10"/>
  <c r="AL23" i="10"/>
  <c r="AP23" i="10"/>
  <c r="AT23" i="10"/>
  <c r="AX23" i="10"/>
  <c r="BB23" i="10"/>
  <c r="G23" i="10"/>
  <c r="K23" i="10"/>
  <c r="O23" i="10"/>
  <c r="S23" i="10"/>
  <c r="W23" i="10"/>
  <c r="AA23" i="10"/>
  <c r="AE23" i="10"/>
  <c r="AI23" i="10"/>
  <c r="AM23" i="10"/>
  <c r="AQ23" i="10"/>
  <c r="AU23" i="10"/>
  <c r="AY23" i="10"/>
  <c r="C23" i="10"/>
  <c r="D23" i="5"/>
  <c r="H23" i="5"/>
  <c r="L23" i="5"/>
  <c r="P23" i="5"/>
  <c r="T23" i="5"/>
  <c r="X23" i="5"/>
  <c r="AB23" i="5"/>
  <c r="AF23" i="5"/>
  <c r="AJ23" i="5"/>
  <c r="AN23" i="5"/>
  <c r="AR23" i="5"/>
  <c r="AV23" i="5"/>
  <c r="AZ23" i="5"/>
  <c r="E23" i="5"/>
  <c r="I23" i="5"/>
  <c r="M23" i="5"/>
  <c r="Q23" i="5"/>
  <c r="U23" i="5"/>
  <c r="Y23" i="5"/>
  <c r="AC23" i="5"/>
  <c r="AG23" i="5"/>
  <c r="AK23" i="5"/>
  <c r="AO23" i="5"/>
  <c r="AS23" i="5"/>
  <c r="AW23" i="5"/>
  <c r="BA23" i="5"/>
  <c r="D31" i="2"/>
  <c r="F23" i="5"/>
  <c r="J23" i="5"/>
  <c r="N23" i="5"/>
  <c r="R23" i="5"/>
  <c r="V23" i="5"/>
  <c r="Z23" i="5"/>
  <c r="AD23" i="5"/>
  <c r="AH23" i="5"/>
  <c r="AL23" i="5"/>
  <c r="AP23" i="5"/>
  <c r="AT23" i="5"/>
  <c r="AX23" i="5"/>
  <c r="BB23" i="5"/>
  <c r="G23" i="5"/>
  <c r="K23" i="5"/>
  <c r="O23" i="5"/>
  <c r="S23" i="5"/>
  <c r="W23" i="5"/>
  <c r="AA23" i="5"/>
  <c r="AE23" i="5"/>
  <c r="AI23" i="5"/>
  <c r="AM23" i="5"/>
  <c r="AQ23" i="5"/>
  <c r="AU23" i="5"/>
  <c r="AY23" i="5"/>
  <c r="C23" i="5"/>
  <c r="C51" i="8"/>
  <c r="C50" i="8"/>
  <c r="C35" i="8"/>
  <c r="C34" i="8"/>
  <c r="C20" i="8"/>
  <c r="C19" i="8"/>
  <c r="K7" i="8"/>
  <c r="C41" i="7"/>
  <c r="C42" i="7" s="1"/>
  <c r="C36" i="7"/>
  <c r="C37" i="7" s="1"/>
  <c r="C21" i="7"/>
  <c r="C22" i="7" s="1"/>
  <c r="C16" i="7"/>
  <c r="C17" i="7" s="1"/>
  <c r="C10" i="7"/>
  <c r="C12" i="7" s="1"/>
  <c r="C195" i="6"/>
  <c r="C197" i="6" s="1"/>
  <c r="C189" i="6"/>
  <c r="C191" i="6" s="1"/>
  <c r="C171" i="6"/>
  <c r="C173" i="6" s="1"/>
  <c r="C165" i="6"/>
  <c r="C167" i="6" s="1"/>
  <c r="C158" i="6"/>
  <c r="C161" i="6" s="1"/>
  <c r="C16" i="6"/>
  <c r="C134" i="6"/>
  <c r="C133" i="6"/>
  <c r="C132" i="6"/>
  <c r="C131" i="6"/>
  <c r="C130" i="6"/>
  <c r="C128" i="6"/>
  <c r="C18" i="2"/>
  <c r="E96" i="6"/>
  <c r="C93" i="6"/>
  <c r="E94" i="6" s="1"/>
  <c r="C89" i="6"/>
  <c r="E90" i="6" s="1"/>
  <c r="C85" i="6"/>
  <c r="E86" i="6" s="1"/>
  <c r="C81" i="6"/>
  <c r="E82" i="6" s="1"/>
  <c r="C77" i="6"/>
  <c r="E78" i="6" s="1"/>
  <c r="C73" i="6"/>
  <c r="E74" i="6" s="1"/>
  <c r="C69" i="6"/>
  <c r="E70" i="6" s="1"/>
  <c r="C57" i="6"/>
  <c r="E59" i="6" s="1"/>
  <c r="C52" i="6"/>
  <c r="E54" i="6" s="1"/>
  <c r="C47" i="6"/>
  <c r="E49" i="6" s="1"/>
  <c r="C42" i="6"/>
  <c r="C37" i="6"/>
  <c r="E39" i="6" s="1"/>
  <c r="C32" i="6"/>
  <c r="E34" i="6" s="1"/>
  <c r="C27" i="6"/>
  <c r="E29" i="6" s="1"/>
  <c r="C199" i="6" l="1"/>
  <c r="C44" i="7"/>
  <c r="C54" i="8"/>
  <c r="C64" i="6"/>
  <c r="C145" i="6"/>
  <c r="E98" i="6"/>
  <c r="C15" i="2"/>
  <c r="C98" i="6"/>
  <c r="E44" i="6"/>
  <c r="E64" i="6" s="1"/>
  <c r="C46" i="1"/>
  <c r="E201" i="6" l="1"/>
  <c r="C55" i="7" s="1"/>
  <c r="AR25" i="10" s="1"/>
  <c r="C11" i="3"/>
  <c r="C17" i="2"/>
  <c r="D15" i="10"/>
  <c r="H15" i="10"/>
  <c r="L15" i="10"/>
  <c r="P15" i="10"/>
  <c r="T15" i="10"/>
  <c r="X15" i="10"/>
  <c r="AB15" i="10"/>
  <c r="AF15" i="10"/>
  <c r="AJ15" i="10"/>
  <c r="AN15" i="10"/>
  <c r="AR15" i="10"/>
  <c r="AV15" i="10"/>
  <c r="AZ15" i="10"/>
  <c r="E15" i="10"/>
  <c r="I15" i="10"/>
  <c r="M15" i="10"/>
  <c r="Q15" i="10"/>
  <c r="U15" i="10"/>
  <c r="Y15" i="10"/>
  <c r="AC15" i="10"/>
  <c r="AG15" i="10"/>
  <c r="AK15" i="10"/>
  <c r="AO15" i="10"/>
  <c r="AS15" i="10"/>
  <c r="AW15" i="10"/>
  <c r="BA15" i="10"/>
  <c r="F15" i="10"/>
  <c r="J15" i="10"/>
  <c r="N15" i="10"/>
  <c r="R15" i="10"/>
  <c r="V15" i="10"/>
  <c r="Z15" i="10"/>
  <c r="AD15" i="10"/>
  <c r="AH15" i="10"/>
  <c r="AL15" i="10"/>
  <c r="AP15" i="10"/>
  <c r="AT15" i="10"/>
  <c r="AX15" i="10"/>
  <c r="BB15" i="10"/>
  <c r="G15" i="10"/>
  <c r="K15" i="10"/>
  <c r="O15" i="10"/>
  <c r="S15" i="10"/>
  <c r="W15" i="10"/>
  <c r="AA15" i="10"/>
  <c r="AE15" i="10"/>
  <c r="AI15" i="10"/>
  <c r="AM15" i="10"/>
  <c r="AQ15" i="10"/>
  <c r="AU15" i="10"/>
  <c r="AY15" i="10"/>
  <c r="C15" i="10"/>
  <c r="C201" i="6"/>
  <c r="C19" i="2"/>
  <c r="C66" i="7" l="1"/>
  <c r="H16" i="10" s="1"/>
  <c r="N25" i="10"/>
  <c r="H25" i="10"/>
  <c r="U25" i="10"/>
  <c r="AJ25" i="10"/>
  <c r="AP25" i="10"/>
  <c r="T25" i="10"/>
  <c r="V25" i="10"/>
  <c r="C25" i="10"/>
  <c r="AC25" i="10"/>
  <c r="AQ25" i="10"/>
  <c r="AS25" i="10"/>
  <c r="Z25" i="10"/>
  <c r="W25" i="10"/>
  <c r="AL25" i="10"/>
  <c r="G25" i="10"/>
  <c r="L25" i="10"/>
  <c r="AU25" i="10"/>
  <c r="M25" i="10"/>
  <c r="AO25" i="10"/>
  <c r="AE25" i="10"/>
  <c r="AV25" i="10"/>
  <c r="Q25" i="10"/>
  <c r="AF25" i="10"/>
  <c r="BA25" i="10"/>
  <c r="S25" i="10"/>
  <c r="BB25" i="10"/>
  <c r="P25" i="10"/>
  <c r="AB25" i="10"/>
  <c r="O25" i="10"/>
  <c r="J25" i="10"/>
  <c r="AX25" i="10"/>
  <c r="AN25" i="10"/>
  <c r="AA25" i="10"/>
  <c r="AH25" i="10"/>
  <c r="F25" i="10"/>
  <c r="D25" i="10"/>
  <c r="AK25" i="10"/>
  <c r="I25" i="10"/>
  <c r="AY25" i="10"/>
  <c r="R25" i="10"/>
  <c r="Y25" i="10"/>
  <c r="AG25" i="10"/>
  <c r="X25" i="10"/>
  <c r="K25" i="10"/>
  <c r="AW25" i="10"/>
  <c r="AZ25" i="10"/>
  <c r="AM25" i="10"/>
  <c r="E25" i="10"/>
  <c r="AT25" i="10"/>
  <c r="AI25" i="10"/>
  <c r="AD25" i="10"/>
  <c r="C20" i="2"/>
  <c r="C12" i="4"/>
  <c r="Z16" i="10"/>
  <c r="AL16" i="10"/>
  <c r="AS16" i="10"/>
  <c r="BC15" i="10"/>
  <c r="BC23" i="10"/>
  <c r="S16" i="10"/>
  <c r="AT16" i="10"/>
  <c r="C79" i="7"/>
  <c r="C90" i="7" s="1"/>
  <c r="AA16" i="10" l="1"/>
  <c r="BC25" i="10"/>
  <c r="AG16" i="10"/>
  <c r="AR16" i="10"/>
  <c r="AI16" i="10"/>
  <c r="AV16" i="10"/>
  <c r="U16" i="10"/>
  <c r="D16" i="10"/>
  <c r="C16" i="10"/>
  <c r="AW16" i="10"/>
  <c r="I16" i="10"/>
  <c r="G16" i="10"/>
  <c r="AK16" i="10"/>
  <c r="AH16" i="10"/>
  <c r="AE16" i="10"/>
  <c r="O16" i="10"/>
  <c r="Q16" i="10"/>
  <c r="P16" i="10"/>
  <c r="AF16" i="10"/>
  <c r="W16" i="10"/>
  <c r="AD16" i="10"/>
  <c r="AJ16" i="10"/>
  <c r="M16" i="10"/>
  <c r="AC16" i="10"/>
  <c r="BB16" i="10"/>
  <c r="BA16" i="10"/>
  <c r="AM16" i="10"/>
  <c r="AY16" i="10"/>
  <c r="AB16" i="10"/>
  <c r="V16" i="10"/>
  <c r="X16" i="10"/>
  <c r="AX16" i="10"/>
  <c r="E16" i="10"/>
  <c r="AO16" i="10"/>
  <c r="J16" i="10"/>
  <c r="AU16" i="10"/>
  <c r="F16" i="10"/>
  <c r="T16" i="10"/>
  <c r="BC16" i="10" s="1"/>
  <c r="L16" i="10"/>
  <c r="N16" i="10"/>
  <c r="AN16" i="10"/>
  <c r="AQ16" i="10"/>
  <c r="Y16" i="10"/>
  <c r="R16" i="10"/>
  <c r="AP16" i="10"/>
  <c r="AZ16" i="10"/>
  <c r="K16" i="10"/>
  <c r="E17" i="10"/>
  <c r="E18" i="10" s="1"/>
  <c r="I17" i="10"/>
  <c r="I18" i="10" s="1"/>
  <c r="M17" i="10"/>
  <c r="M18" i="10" s="1"/>
  <c r="Q17" i="10"/>
  <c r="Q18" i="10" s="1"/>
  <c r="U17" i="10"/>
  <c r="U18" i="10" s="1"/>
  <c r="Y17" i="10"/>
  <c r="Y18" i="10" s="1"/>
  <c r="AC17" i="10"/>
  <c r="AG17" i="10"/>
  <c r="AG18" i="10" s="1"/>
  <c r="AK17" i="10"/>
  <c r="AK18" i="10" s="1"/>
  <c r="AO17" i="10"/>
  <c r="AO18" i="10" s="1"/>
  <c r="AS17" i="10"/>
  <c r="AS18" i="10" s="1"/>
  <c r="AW17" i="10"/>
  <c r="AW18" i="10" s="1"/>
  <c r="BA17" i="10"/>
  <c r="BA18" i="10" s="1"/>
  <c r="F17" i="10"/>
  <c r="F18" i="10" s="1"/>
  <c r="J17" i="10"/>
  <c r="J18" i="10" s="1"/>
  <c r="N17" i="10"/>
  <c r="N18" i="10" s="1"/>
  <c r="R17" i="10"/>
  <c r="R18" i="10" s="1"/>
  <c r="V17" i="10"/>
  <c r="Z17" i="10"/>
  <c r="Z18" i="10" s="1"/>
  <c r="AD17" i="10"/>
  <c r="AD18" i="10" s="1"/>
  <c r="AH17" i="10"/>
  <c r="AL17" i="10"/>
  <c r="AL18" i="10" s="1"/>
  <c r="AP17" i="10"/>
  <c r="AP18" i="10" s="1"/>
  <c r="AT17" i="10"/>
  <c r="AT18" i="10" s="1"/>
  <c r="AX17" i="10"/>
  <c r="BB17" i="10"/>
  <c r="BB18" i="10" s="1"/>
  <c r="G17" i="10"/>
  <c r="G18" i="10" s="1"/>
  <c r="K17" i="10"/>
  <c r="K18" i="10" s="1"/>
  <c r="O17" i="10"/>
  <c r="S17" i="10"/>
  <c r="S18" i="10" s="1"/>
  <c r="W17" i="10"/>
  <c r="W18" i="10" s="1"/>
  <c r="AA17" i="10"/>
  <c r="AA18" i="10" s="1"/>
  <c r="AE17" i="10"/>
  <c r="AE18" i="10" s="1"/>
  <c r="AI17" i="10"/>
  <c r="AI18" i="10" s="1"/>
  <c r="AM17" i="10"/>
  <c r="AM18" i="10" s="1"/>
  <c r="AQ17" i="10"/>
  <c r="AQ18" i="10" s="1"/>
  <c r="AU17" i="10"/>
  <c r="AU18" i="10" s="1"/>
  <c r="AY17" i="10"/>
  <c r="AY18" i="10" s="1"/>
  <c r="C17" i="10"/>
  <c r="D17" i="10"/>
  <c r="D18" i="10" s="1"/>
  <c r="H17" i="10"/>
  <c r="H18" i="10" s="1"/>
  <c r="L17" i="10"/>
  <c r="L18" i="10" s="1"/>
  <c r="P17" i="10"/>
  <c r="P18" i="10" s="1"/>
  <c r="T17" i="10"/>
  <c r="X17" i="10"/>
  <c r="X18" i="10" s="1"/>
  <c r="AB17" i="10"/>
  <c r="AB18" i="10" s="1"/>
  <c r="AF17" i="10"/>
  <c r="AF18" i="10" s="1"/>
  <c r="AJ17" i="10"/>
  <c r="AJ18" i="10" s="1"/>
  <c r="AN17" i="10"/>
  <c r="AN18" i="10" s="1"/>
  <c r="AR17" i="10"/>
  <c r="AR18" i="10" s="1"/>
  <c r="AV17" i="10"/>
  <c r="AZ17" i="10"/>
  <c r="AC18" i="10" l="1"/>
  <c r="O18" i="10"/>
  <c r="AH18" i="10"/>
  <c r="AZ18" i="10"/>
  <c r="T18" i="10"/>
  <c r="AV18" i="10"/>
  <c r="V18" i="10"/>
  <c r="AX18" i="10"/>
  <c r="BC17" i="10"/>
  <c r="C18" i="10"/>
  <c r="BC23" i="5"/>
  <c r="D25" i="2"/>
  <c r="G17" i="5"/>
  <c r="AE17" i="5"/>
  <c r="AQ17" i="5"/>
  <c r="D17" i="5"/>
  <c r="H17" i="5"/>
  <c r="L17" i="5"/>
  <c r="P17" i="5"/>
  <c r="T17" i="5"/>
  <c r="X17" i="5"/>
  <c r="AB17" i="5"/>
  <c r="AF17" i="5"/>
  <c r="AJ17" i="5"/>
  <c r="AN17" i="5"/>
  <c r="AR17" i="5"/>
  <c r="AV17" i="5"/>
  <c r="AZ17" i="5"/>
  <c r="C17" i="5"/>
  <c r="I17" i="5"/>
  <c r="M17" i="5"/>
  <c r="U17" i="5"/>
  <c r="Y17" i="5"/>
  <c r="AG17" i="5"/>
  <c r="AO17" i="5"/>
  <c r="AW17" i="5"/>
  <c r="E17" i="5"/>
  <c r="Q17" i="5"/>
  <c r="AC17" i="5"/>
  <c r="AK17" i="5"/>
  <c r="AS17" i="5"/>
  <c r="F17" i="5"/>
  <c r="J17" i="5"/>
  <c r="N17" i="5"/>
  <c r="R17" i="5"/>
  <c r="V17" i="5"/>
  <c r="Z17" i="5"/>
  <c r="AD17" i="5"/>
  <c r="AH17" i="5"/>
  <c r="AL17" i="5"/>
  <c r="AP17" i="5"/>
  <c r="AT17" i="5"/>
  <c r="AX17" i="5"/>
  <c r="BB17" i="5"/>
  <c r="K17" i="5"/>
  <c r="O17" i="5"/>
  <c r="S17" i="5"/>
  <c r="W17" i="5"/>
  <c r="AA17" i="5"/>
  <c r="AI17" i="5"/>
  <c r="AM17" i="5"/>
  <c r="AU17" i="5"/>
  <c r="AY17" i="5"/>
  <c r="BA17" i="5"/>
  <c r="C8" i="3"/>
  <c r="D8" i="3" s="1"/>
  <c r="E8" i="3" s="1"/>
  <c r="C26" i="2"/>
  <c r="C10" i="2"/>
  <c r="C11" i="2" s="1"/>
  <c r="BC18" i="10" l="1"/>
  <c r="BC17" i="5"/>
  <c r="F8" i="3"/>
  <c r="C21" i="1"/>
  <c r="C14" i="1"/>
  <c r="C18" i="1" s="1"/>
  <c r="C18" i="3" l="1"/>
  <c r="D15" i="5"/>
  <c r="H15" i="5"/>
  <c r="L15" i="5"/>
  <c r="P15" i="5"/>
  <c r="T15" i="5"/>
  <c r="X15" i="5"/>
  <c r="AB15" i="5"/>
  <c r="AF15" i="5"/>
  <c r="AJ15" i="5"/>
  <c r="AN15" i="5"/>
  <c r="AR15" i="5"/>
  <c r="AV15" i="5"/>
  <c r="AZ15" i="5"/>
  <c r="O15" i="5"/>
  <c r="AA15" i="5"/>
  <c r="AI15" i="5"/>
  <c r="AU15" i="5"/>
  <c r="E15" i="5"/>
  <c r="I15" i="5"/>
  <c r="M15" i="5"/>
  <c r="Q15" i="5"/>
  <c r="U15" i="5"/>
  <c r="Y15" i="5"/>
  <c r="AC15" i="5"/>
  <c r="AG15" i="5"/>
  <c r="AK15" i="5"/>
  <c r="AO15" i="5"/>
  <c r="AS15" i="5"/>
  <c r="AW15" i="5"/>
  <c r="BA15" i="5"/>
  <c r="C15" i="5"/>
  <c r="G15" i="5"/>
  <c r="S15" i="5"/>
  <c r="AE15" i="5"/>
  <c r="AQ15" i="5"/>
  <c r="F15" i="5"/>
  <c r="J15" i="5"/>
  <c r="N15" i="5"/>
  <c r="R15" i="5"/>
  <c r="V15" i="5"/>
  <c r="Z15" i="5"/>
  <c r="AD15" i="5"/>
  <c r="AH15" i="5"/>
  <c r="AL15" i="5"/>
  <c r="AP15" i="5"/>
  <c r="AT15" i="5"/>
  <c r="AX15" i="5"/>
  <c r="BB15" i="5"/>
  <c r="K15" i="5"/>
  <c r="W15" i="5"/>
  <c r="AM15" i="5"/>
  <c r="AY15" i="5"/>
  <c r="G8" i="3"/>
  <c r="C19" i="3"/>
  <c r="E25" i="2"/>
  <c r="D23" i="2"/>
  <c r="C15" i="1"/>
  <c r="C22" i="1" s="1"/>
  <c r="C25" i="1" s="1"/>
  <c r="C16" i="1"/>
  <c r="C17" i="1"/>
  <c r="C20" i="3" l="1"/>
  <c r="G9" i="10"/>
  <c r="G19" i="10" s="1"/>
  <c r="K9" i="10"/>
  <c r="K19" i="10" s="1"/>
  <c r="O9" i="10"/>
  <c r="O19" i="10" s="1"/>
  <c r="S9" i="10"/>
  <c r="S19" i="10" s="1"/>
  <c r="W9" i="10"/>
  <c r="W19" i="10" s="1"/>
  <c r="AA9" i="10"/>
  <c r="AA19" i="10" s="1"/>
  <c r="AE9" i="10"/>
  <c r="AE19" i="10" s="1"/>
  <c r="AI9" i="10"/>
  <c r="AI19" i="10" s="1"/>
  <c r="AM9" i="10"/>
  <c r="AM19" i="10" s="1"/>
  <c r="AQ9" i="10"/>
  <c r="AQ19" i="10" s="1"/>
  <c r="AU9" i="10"/>
  <c r="AU19" i="10" s="1"/>
  <c r="AY9" i="10"/>
  <c r="AY19" i="10" s="1"/>
  <c r="C9" i="10"/>
  <c r="C19" i="10" s="1"/>
  <c r="E9" i="10"/>
  <c r="E19" i="10" s="1"/>
  <c r="M9" i="10"/>
  <c r="M19" i="10" s="1"/>
  <c r="D9" i="10"/>
  <c r="D19" i="10" s="1"/>
  <c r="H9" i="10"/>
  <c r="H19" i="10" s="1"/>
  <c r="L9" i="10"/>
  <c r="L19" i="10" s="1"/>
  <c r="P9" i="10"/>
  <c r="P19" i="10" s="1"/>
  <c r="T9" i="10"/>
  <c r="T19" i="10" s="1"/>
  <c r="X9" i="10"/>
  <c r="X19" i="10" s="1"/>
  <c r="AB9" i="10"/>
  <c r="AB19" i="10" s="1"/>
  <c r="AF9" i="10"/>
  <c r="AF19" i="10" s="1"/>
  <c r="AJ9" i="10"/>
  <c r="AJ19" i="10" s="1"/>
  <c r="AN9" i="10"/>
  <c r="AN19" i="10" s="1"/>
  <c r="AR9" i="10"/>
  <c r="AR19" i="10" s="1"/>
  <c r="AV9" i="10"/>
  <c r="AV19" i="10" s="1"/>
  <c r="AZ9" i="10"/>
  <c r="AZ19" i="10" s="1"/>
  <c r="I9" i="10"/>
  <c r="I19" i="10" s="1"/>
  <c r="Q9" i="10"/>
  <c r="Q19" i="10" s="1"/>
  <c r="Y9" i="10"/>
  <c r="Y19" i="10" s="1"/>
  <c r="AG9" i="10"/>
  <c r="AG19" i="10" s="1"/>
  <c r="AO9" i="10"/>
  <c r="AO19" i="10" s="1"/>
  <c r="AW9" i="10"/>
  <c r="AW19" i="10" s="1"/>
  <c r="F9" i="10"/>
  <c r="F19" i="10" s="1"/>
  <c r="R9" i="10"/>
  <c r="R19" i="10" s="1"/>
  <c r="Z9" i="10"/>
  <c r="Z19" i="10" s="1"/>
  <c r="AH9" i="10"/>
  <c r="AH19" i="10" s="1"/>
  <c r="AP9" i="10"/>
  <c r="AP19" i="10" s="1"/>
  <c r="AX9" i="10"/>
  <c r="AX19" i="10" s="1"/>
  <c r="J9" i="10"/>
  <c r="J19" i="10" s="1"/>
  <c r="U9" i="10"/>
  <c r="U19" i="10" s="1"/>
  <c r="AC9" i="10"/>
  <c r="AC19" i="10" s="1"/>
  <c r="AK9" i="10"/>
  <c r="AK19" i="10" s="1"/>
  <c r="AS9" i="10"/>
  <c r="AS19" i="10" s="1"/>
  <c r="BA9" i="10"/>
  <c r="BA19" i="10" s="1"/>
  <c r="N9" i="10"/>
  <c r="N19" i="10" s="1"/>
  <c r="AT9" i="10"/>
  <c r="AT19" i="10" s="1"/>
  <c r="V9" i="10"/>
  <c r="V19" i="10" s="1"/>
  <c r="BB9" i="10"/>
  <c r="BB19" i="10" s="1"/>
  <c r="AD9" i="10"/>
  <c r="AD19" i="10" s="1"/>
  <c r="AL9" i="10"/>
  <c r="AL19" i="10" s="1"/>
  <c r="C5" i="4"/>
  <c r="C11" i="4"/>
  <c r="G12" i="3"/>
  <c r="K12" i="3"/>
  <c r="C12" i="3"/>
  <c r="D12" i="3"/>
  <c r="H12" i="3"/>
  <c r="L12" i="3"/>
  <c r="F12" i="3"/>
  <c r="F13" i="3" s="1"/>
  <c r="E12" i="3"/>
  <c r="E13" i="3" s="1"/>
  <c r="I12" i="3"/>
  <c r="M12" i="3"/>
  <c r="J12" i="3"/>
  <c r="C7" i="4"/>
  <c r="BC15" i="5"/>
  <c r="C6" i="3"/>
  <c r="D6" i="3" s="1"/>
  <c r="C6" i="4"/>
  <c r="D9" i="5"/>
  <c r="H9" i="5"/>
  <c r="L9" i="5"/>
  <c r="P9" i="5"/>
  <c r="T9" i="5"/>
  <c r="X9" i="5"/>
  <c r="AB9" i="5"/>
  <c r="AF9" i="5"/>
  <c r="AJ9" i="5"/>
  <c r="AN9" i="5"/>
  <c r="AR9" i="5"/>
  <c r="AV9" i="5"/>
  <c r="AZ9" i="5"/>
  <c r="K9" i="5"/>
  <c r="S9" i="5"/>
  <c r="AA9" i="5"/>
  <c r="AI9" i="5"/>
  <c r="AU9" i="5"/>
  <c r="E9" i="5"/>
  <c r="I9" i="5"/>
  <c r="M9" i="5"/>
  <c r="Q9" i="5"/>
  <c r="U9" i="5"/>
  <c r="Y9" i="5"/>
  <c r="AC9" i="5"/>
  <c r="AG9" i="5"/>
  <c r="AK9" i="5"/>
  <c r="AO9" i="5"/>
  <c r="AS9" i="5"/>
  <c r="AW9" i="5"/>
  <c r="BA9" i="5"/>
  <c r="O9" i="5"/>
  <c r="AQ9" i="5"/>
  <c r="F9" i="5"/>
  <c r="J9" i="5"/>
  <c r="N9" i="5"/>
  <c r="R9" i="5"/>
  <c r="V9" i="5"/>
  <c r="Z9" i="5"/>
  <c r="AD9" i="5"/>
  <c r="AH9" i="5"/>
  <c r="AL9" i="5"/>
  <c r="AP9" i="5"/>
  <c r="AT9" i="5"/>
  <c r="AX9" i="5"/>
  <c r="BB9" i="5"/>
  <c r="G9" i="5"/>
  <c r="W9" i="5"/>
  <c r="AE9" i="5"/>
  <c r="AM9" i="5"/>
  <c r="AY9" i="5"/>
  <c r="C9" i="5"/>
  <c r="H8" i="3"/>
  <c r="G13" i="3"/>
  <c r="D28" i="1"/>
  <c r="F28" i="1" s="1"/>
  <c r="E23" i="2"/>
  <c r="D38" i="1"/>
  <c r="F38" i="1" s="1"/>
  <c r="D33" i="1"/>
  <c r="F33" i="1" s="1"/>
  <c r="D29" i="1"/>
  <c r="F29" i="1" s="1"/>
  <c r="D30" i="1"/>
  <c r="F30" i="1" s="1"/>
  <c r="D36" i="1"/>
  <c r="F36" i="1" s="1"/>
  <c r="D35" i="1"/>
  <c r="F35" i="1" s="1"/>
  <c r="D37" i="1"/>
  <c r="F37" i="1" s="1"/>
  <c r="D46" i="1"/>
  <c r="D31" i="1"/>
  <c r="F31" i="1" s="1"/>
  <c r="D34" i="1"/>
  <c r="F34" i="1" s="1"/>
  <c r="D32" i="1"/>
  <c r="F32" i="1" s="1"/>
  <c r="C29" i="2"/>
  <c r="C34" i="2" s="1"/>
  <c r="F25" i="2"/>
  <c r="BC9" i="10" l="1"/>
  <c r="C39" i="2"/>
  <c r="F23" i="2"/>
  <c r="C13" i="3"/>
  <c r="C8" i="4"/>
  <c r="G25" i="5"/>
  <c r="K25" i="5"/>
  <c r="O25" i="5"/>
  <c r="S25" i="5"/>
  <c r="W25" i="5"/>
  <c r="AA25" i="5"/>
  <c r="AE25" i="5"/>
  <c r="AI25" i="5"/>
  <c r="AM25" i="5"/>
  <c r="AQ25" i="5"/>
  <c r="AU25" i="5"/>
  <c r="AY25" i="5"/>
  <c r="J25" i="5"/>
  <c r="N25" i="5"/>
  <c r="V25" i="5"/>
  <c r="AH25" i="5"/>
  <c r="AP25" i="5"/>
  <c r="AX25" i="5"/>
  <c r="D25" i="5"/>
  <c r="H25" i="5"/>
  <c r="L25" i="5"/>
  <c r="P25" i="5"/>
  <c r="T25" i="5"/>
  <c r="X25" i="5"/>
  <c r="AB25" i="5"/>
  <c r="AF25" i="5"/>
  <c r="AJ25" i="5"/>
  <c r="AN25" i="5"/>
  <c r="AR25" i="5"/>
  <c r="AV25" i="5"/>
  <c r="AZ25" i="5"/>
  <c r="AD25" i="5"/>
  <c r="E25" i="5"/>
  <c r="I25" i="5"/>
  <c r="M25" i="5"/>
  <c r="Q25" i="5"/>
  <c r="U25" i="5"/>
  <c r="Y25" i="5"/>
  <c r="AC25" i="5"/>
  <c r="AG25" i="5"/>
  <c r="AK25" i="5"/>
  <c r="AO25" i="5"/>
  <c r="AS25" i="5"/>
  <c r="AW25" i="5"/>
  <c r="BA25" i="5"/>
  <c r="C25" i="5"/>
  <c r="F25" i="5"/>
  <c r="R25" i="5"/>
  <c r="Z25" i="5"/>
  <c r="AL25" i="5"/>
  <c r="AT25" i="5"/>
  <c r="BB25" i="5"/>
  <c r="I8" i="3"/>
  <c r="H13" i="3"/>
  <c r="D27" i="3"/>
  <c r="D13" i="3"/>
  <c r="BC9" i="5"/>
  <c r="F46" i="1"/>
  <c r="L33" i="2"/>
  <c r="I33" i="2"/>
  <c r="K33" i="2"/>
  <c r="D33" i="2"/>
  <c r="D26" i="3" s="1"/>
  <c r="E33" i="2"/>
  <c r="G33" i="2"/>
  <c r="F33" i="2"/>
  <c r="M33" i="2"/>
  <c r="J33" i="2"/>
  <c r="H33" i="2"/>
  <c r="G25" i="2"/>
  <c r="E9" i="2" l="1"/>
  <c r="BC19" i="10"/>
  <c r="D9" i="2"/>
  <c r="G23" i="2"/>
  <c r="C68" i="7"/>
  <c r="AG10" i="5" s="1"/>
  <c r="AG11" i="5" s="1"/>
  <c r="AG12" i="5" s="1"/>
  <c r="D24" i="2"/>
  <c r="D26" i="2" s="1"/>
  <c r="E16" i="5"/>
  <c r="E18" i="5" s="1"/>
  <c r="E19" i="5" s="1"/>
  <c r="I16" i="5"/>
  <c r="I18" i="5" s="1"/>
  <c r="I19" i="5" s="1"/>
  <c r="M16" i="5"/>
  <c r="M18" i="5" s="1"/>
  <c r="M19" i="5" s="1"/>
  <c r="Q16" i="5"/>
  <c r="Q18" i="5" s="1"/>
  <c r="Q19" i="5" s="1"/>
  <c r="U16" i="5"/>
  <c r="U18" i="5" s="1"/>
  <c r="U19" i="5" s="1"/>
  <c r="Y16" i="5"/>
  <c r="Y18" i="5" s="1"/>
  <c r="Y19" i="5" s="1"/>
  <c r="AC16" i="5"/>
  <c r="AC18" i="5" s="1"/>
  <c r="AC19" i="5" s="1"/>
  <c r="AG16" i="5"/>
  <c r="AG18" i="5" s="1"/>
  <c r="AG19" i="5" s="1"/>
  <c r="AK16" i="5"/>
  <c r="AK18" i="5" s="1"/>
  <c r="AK19" i="5" s="1"/>
  <c r="AO16" i="5"/>
  <c r="AO18" i="5" s="1"/>
  <c r="AO19" i="5" s="1"/>
  <c r="AS16" i="5"/>
  <c r="AS18" i="5" s="1"/>
  <c r="AS19" i="5" s="1"/>
  <c r="AW16" i="5"/>
  <c r="AW18" i="5" s="1"/>
  <c r="AW19" i="5" s="1"/>
  <c r="BA16" i="5"/>
  <c r="BA18" i="5" s="1"/>
  <c r="BA19" i="5" s="1"/>
  <c r="C16" i="5"/>
  <c r="C18" i="5" s="1"/>
  <c r="C19" i="5" s="1"/>
  <c r="H16" i="5"/>
  <c r="H18" i="5" s="1"/>
  <c r="H19" i="5" s="1"/>
  <c r="X16" i="5"/>
  <c r="X18" i="5" s="1"/>
  <c r="X19" i="5" s="1"/>
  <c r="AF16" i="5"/>
  <c r="AF18" i="5" s="1"/>
  <c r="AF19" i="5" s="1"/>
  <c r="AR16" i="5"/>
  <c r="AR18" i="5" s="1"/>
  <c r="AR19" i="5" s="1"/>
  <c r="F16" i="5"/>
  <c r="F18" i="5" s="1"/>
  <c r="F19" i="5" s="1"/>
  <c r="J16" i="5"/>
  <c r="J18" i="5" s="1"/>
  <c r="J19" i="5" s="1"/>
  <c r="N16" i="5"/>
  <c r="N18" i="5" s="1"/>
  <c r="N19" i="5" s="1"/>
  <c r="R16" i="5"/>
  <c r="R18" i="5" s="1"/>
  <c r="R19" i="5" s="1"/>
  <c r="V16" i="5"/>
  <c r="V18" i="5" s="1"/>
  <c r="V19" i="5" s="1"/>
  <c r="Z16" i="5"/>
  <c r="Z18" i="5" s="1"/>
  <c r="Z19" i="5" s="1"/>
  <c r="AD16" i="5"/>
  <c r="AD18" i="5" s="1"/>
  <c r="AD19" i="5" s="1"/>
  <c r="AH16" i="5"/>
  <c r="AH18" i="5" s="1"/>
  <c r="AH19" i="5" s="1"/>
  <c r="AL16" i="5"/>
  <c r="AL18" i="5" s="1"/>
  <c r="AL19" i="5" s="1"/>
  <c r="AP16" i="5"/>
  <c r="AP18" i="5" s="1"/>
  <c r="AP19" i="5" s="1"/>
  <c r="AT16" i="5"/>
  <c r="AT18" i="5" s="1"/>
  <c r="AT19" i="5" s="1"/>
  <c r="AX16" i="5"/>
  <c r="AX18" i="5" s="1"/>
  <c r="AX19" i="5" s="1"/>
  <c r="BB16" i="5"/>
  <c r="BB18" i="5" s="1"/>
  <c r="BB19" i="5" s="1"/>
  <c r="D16" i="5"/>
  <c r="D18" i="5" s="1"/>
  <c r="D19" i="5" s="1"/>
  <c r="P16" i="5"/>
  <c r="P18" i="5" s="1"/>
  <c r="P19" i="5" s="1"/>
  <c r="AB16" i="5"/>
  <c r="AB18" i="5" s="1"/>
  <c r="AB19" i="5" s="1"/>
  <c r="AN16" i="5"/>
  <c r="AN18" i="5" s="1"/>
  <c r="AN19" i="5" s="1"/>
  <c r="AZ16" i="5"/>
  <c r="AZ18" i="5" s="1"/>
  <c r="AZ19" i="5" s="1"/>
  <c r="G16" i="5"/>
  <c r="G18" i="5" s="1"/>
  <c r="G19" i="5" s="1"/>
  <c r="K16" i="5"/>
  <c r="K18" i="5" s="1"/>
  <c r="K19" i="5" s="1"/>
  <c r="O16" i="5"/>
  <c r="O18" i="5" s="1"/>
  <c r="O19" i="5" s="1"/>
  <c r="S16" i="5"/>
  <c r="S18" i="5" s="1"/>
  <c r="S19" i="5" s="1"/>
  <c r="W16" i="5"/>
  <c r="W18" i="5" s="1"/>
  <c r="W19" i="5" s="1"/>
  <c r="AA16" i="5"/>
  <c r="AA18" i="5" s="1"/>
  <c r="AA19" i="5" s="1"/>
  <c r="AE16" i="5"/>
  <c r="AE18" i="5" s="1"/>
  <c r="AE19" i="5" s="1"/>
  <c r="AI16" i="5"/>
  <c r="AI18" i="5" s="1"/>
  <c r="AI19" i="5" s="1"/>
  <c r="AM16" i="5"/>
  <c r="AM18" i="5" s="1"/>
  <c r="AM19" i="5" s="1"/>
  <c r="AQ16" i="5"/>
  <c r="AQ18" i="5" s="1"/>
  <c r="AQ19" i="5" s="1"/>
  <c r="AU16" i="5"/>
  <c r="AU18" i="5" s="1"/>
  <c r="AU19" i="5" s="1"/>
  <c r="AY16" i="5"/>
  <c r="AY18" i="5" s="1"/>
  <c r="AY19" i="5" s="1"/>
  <c r="L16" i="5"/>
  <c r="L18" i="5" s="1"/>
  <c r="L19" i="5" s="1"/>
  <c r="T16" i="5"/>
  <c r="T18" i="5" s="1"/>
  <c r="T19" i="5" s="1"/>
  <c r="AJ16" i="5"/>
  <c r="AJ18" i="5" s="1"/>
  <c r="AJ19" i="5" s="1"/>
  <c r="AV16" i="5"/>
  <c r="AV18" i="5" s="1"/>
  <c r="AV19" i="5" s="1"/>
  <c r="BC25" i="5"/>
  <c r="J8" i="3"/>
  <c r="I13" i="3"/>
  <c r="H25" i="2"/>
  <c r="AZ10" i="5" l="1"/>
  <c r="AZ11" i="5" s="1"/>
  <c r="AZ12" i="5" s="1"/>
  <c r="AU10" i="5"/>
  <c r="AU11" i="5" s="1"/>
  <c r="AU21" i="5" s="1"/>
  <c r="D10" i="5"/>
  <c r="D11" i="5" s="1"/>
  <c r="D12" i="5" s="1"/>
  <c r="Z10" i="5"/>
  <c r="Z11" i="5" s="1"/>
  <c r="Z12" i="5" s="1"/>
  <c r="AF10" i="5"/>
  <c r="AF11" i="5" s="1"/>
  <c r="AF12" i="5" s="1"/>
  <c r="AX10" i="5"/>
  <c r="AX11" i="5" s="1"/>
  <c r="AX12" i="5" s="1"/>
  <c r="Y10" i="5"/>
  <c r="Y11" i="5" s="1"/>
  <c r="Y12" i="5" s="1"/>
  <c r="W10" i="5"/>
  <c r="W11" i="5" s="1"/>
  <c r="W12" i="5" s="1"/>
  <c r="F10" i="5"/>
  <c r="F11" i="5" s="1"/>
  <c r="F12" i="5" s="1"/>
  <c r="P10" i="5"/>
  <c r="P11" i="5" s="1"/>
  <c r="P12" i="5" s="1"/>
  <c r="S10" i="5"/>
  <c r="S11" i="5" s="1"/>
  <c r="S12" i="5" s="1"/>
  <c r="AP10" i="5"/>
  <c r="AP11" i="5" s="1"/>
  <c r="AP12" i="5" s="1"/>
  <c r="AV10" i="5"/>
  <c r="AV11" i="5" s="1"/>
  <c r="AV12" i="5" s="1"/>
  <c r="Q10" i="5"/>
  <c r="Q11" i="5" s="1"/>
  <c r="Q12" i="5" s="1"/>
  <c r="AM10" i="5"/>
  <c r="AM11" i="5" s="1"/>
  <c r="AM12" i="5" s="1"/>
  <c r="AJ10" i="5"/>
  <c r="AJ11" i="5" s="1"/>
  <c r="AJ12" i="5" s="1"/>
  <c r="V10" i="5"/>
  <c r="V11" i="5" s="1"/>
  <c r="V12" i="5" s="1"/>
  <c r="AS10" i="5"/>
  <c r="AS11" i="5" s="1"/>
  <c r="AS12" i="5" s="1"/>
  <c r="C10" i="5"/>
  <c r="C11" i="5" s="1"/>
  <c r="C12" i="5" s="1"/>
  <c r="AI10" i="5"/>
  <c r="AI11" i="5" s="1"/>
  <c r="AI12" i="5" s="1"/>
  <c r="O10" i="5"/>
  <c r="O11" i="5" s="1"/>
  <c r="O12" i="5" s="1"/>
  <c r="L10" i="5"/>
  <c r="L11" i="5" s="1"/>
  <c r="L12" i="5" s="1"/>
  <c r="AL10" i="5"/>
  <c r="AL11" i="5" s="1"/>
  <c r="AL12" i="5" s="1"/>
  <c r="R10" i="5"/>
  <c r="R11" i="5" s="1"/>
  <c r="R12" i="5" s="1"/>
  <c r="AB10" i="5"/>
  <c r="AB11" i="5" s="1"/>
  <c r="AB12" i="5" s="1"/>
  <c r="AO10" i="5"/>
  <c r="AO11" i="5" s="1"/>
  <c r="AO12" i="5" s="1"/>
  <c r="M10" i="5"/>
  <c r="M11" i="5" s="1"/>
  <c r="M12" i="5" s="1"/>
  <c r="AR10" i="5"/>
  <c r="AR11" i="5" s="1"/>
  <c r="AR12" i="5" s="1"/>
  <c r="AY10" i="5"/>
  <c r="AY11" i="5" s="1"/>
  <c r="AY21" i="5" s="1"/>
  <c r="AE10" i="5"/>
  <c r="AE11" i="5" s="1"/>
  <c r="AE12" i="5" s="1"/>
  <c r="G10" i="5"/>
  <c r="G11" i="5" s="1"/>
  <c r="G21" i="5" s="1"/>
  <c r="BB10" i="5"/>
  <c r="BB11" i="5" s="1"/>
  <c r="BB12" i="5" s="1"/>
  <c r="AH10" i="5"/>
  <c r="AH11" i="5" s="1"/>
  <c r="AH12" i="5" s="1"/>
  <c r="J10" i="5"/>
  <c r="J11" i="5" s="1"/>
  <c r="J12" i="5" s="1"/>
  <c r="T10" i="5"/>
  <c r="T11" i="5" s="1"/>
  <c r="T12" i="5" s="1"/>
  <c r="D27" i="2"/>
  <c r="C18" i="4"/>
  <c r="C19" i="4" s="1"/>
  <c r="C92" i="7"/>
  <c r="D10" i="10"/>
  <c r="D11" i="10" s="1"/>
  <c r="H10" i="10"/>
  <c r="H11" i="10" s="1"/>
  <c r="L10" i="10"/>
  <c r="L11" i="10" s="1"/>
  <c r="P10" i="10"/>
  <c r="P11" i="10" s="1"/>
  <c r="T10" i="10"/>
  <c r="T11" i="10" s="1"/>
  <c r="X10" i="10"/>
  <c r="X11" i="10" s="1"/>
  <c r="AB10" i="10"/>
  <c r="AB11" i="10" s="1"/>
  <c r="AF10" i="10"/>
  <c r="AF11" i="10" s="1"/>
  <c r="AJ10" i="10"/>
  <c r="AJ11" i="10" s="1"/>
  <c r="AN10" i="10"/>
  <c r="AN11" i="10" s="1"/>
  <c r="AR10" i="10"/>
  <c r="AR11" i="10" s="1"/>
  <c r="AV10" i="10"/>
  <c r="AV11" i="10" s="1"/>
  <c r="AZ10" i="10"/>
  <c r="AZ11" i="10" s="1"/>
  <c r="E10" i="10"/>
  <c r="E11" i="10" s="1"/>
  <c r="I10" i="10"/>
  <c r="I11" i="10" s="1"/>
  <c r="M10" i="10"/>
  <c r="M11" i="10" s="1"/>
  <c r="Q10" i="10"/>
  <c r="Q11" i="10" s="1"/>
  <c r="U10" i="10"/>
  <c r="U11" i="10" s="1"/>
  <c r="Y10" i="10"/>
  <c r="Y11" i="10" s="1"/>
  <c r="AC10" i="10"/>
  <c r="AC11" i="10" s="1"/>
  <c r="AG10" i="10"/>
  <c r="AG11" i="10" s="1"/>
  <c r="AK10" i="10"/>
  <c r="AK11" i="10" s="1"/>
  <c r="AO10" i="10"/>
  <c r="AO11" i="10" s="1"/>
  <c r="AS10" i="10"/>
  <c r="AS11" i="10" s="1"/>
  <c r="AW10" i="10"/>
  <c r="AW11" i="10" s="1"/>
  <c r="BA10" i="10"/>
  <c r="BA11" i="10" s="1"/>
  <c r="F10" i="10"/>
  <c r="F11" i="10" s="1"/>
  <c r="N10" i="10"/>
  <c r="N11" i="10" s="1"/>
  <c r="V10" i="10"/>
  <c r="V11" i="10" s="1"/>
  <c r="AD10" i="10"/>
  <c r="AD11" i="10" s="1"/>
  <c r="AL10" i="10"/>
  <c r="AL11" i="10" s="1"/>
  <c r="AT10" i="10"/>
  <c r="AT11" i="10" s="1"/>
  <c r="BB10" i="10"/>
  <c r="BB11" i="10" s="1"/>
  <c r="G10" i="10"/>
  <c r="G11" i="10" s="1"/>
  <c r="O10" i="10"/>
  <c r="O11" i="10" s="1"/>
  <c r="W10" i="10"/>
  <c r="W11" i="10" s="1"/>
  <c r="AE10" i="10"/>
  <c r="AE11" i="10" s="1"/>
  <c r="AM10" i="10"/>
  <c r="AM11" i="10" s="1"/>
  <c r="AU10" i="10"/>
  <c r="AU11" i="10" s="1"/>
  <c r="C10" i="10"/>
  <c r="J10" i="10"/>
  <c r="J11" i="10" s="1"/>
  <c r="R10" i="10"/>
  <c r="R11" i="10" s="1"/>
  <c r="Z10" i="10"/>
  <c r="Z11" i="10" s="1"/>
  <c r="AH10" i="10"/>
  <c r="AH11" i="10" s="1"/>
  <c r="AP10" i="10"/>
  <c r="AP11" i="10" s="1"/>
  <c r="AX10" i="10"/>
  <c r="AX11" i="10" s="1"/>
  <c r="AA10" i="10"/>
  <c r="AA11" i="10" s="1"/>
  <c r="AY10" i="10"/>
  <c r="AY11" i="10" s="1"/>
  <c r="AI10" i="10"/>
  <c r="AI11" i="10" s="1"/>
  <c r="K10" i="10"/>
  <c r="K11" i="10" s="1"/>
  <c r="AQ10" i="10"/>
  <c r="AQ11" i="10" s="1"/>
  <c r="S10" i="10"/>
  <c r="S11" i="10" s="1"/>
  <c r="H10" i="5"/>
  <c r="H11" i="5" s="1"/>
  <c r="H12" i="5" s="1"/>
  <c r="AQ10" i="5"/>
  <c r="AQ11" i="5" s="1"/>
  <c r="AA10" i="5"/>
  <c r="AA11" i="5" s="1"/>
  <c r="K10" i="5"/>
  <c r="K11" i="5" s="1"/>
  <c r="X10" i="5"/>
  <c r="X11" i="5" s="1"/>
  <c r="AT10" i="5"/>
  <c r="AT11" i="5" s="1"/>
  <c r="AD10" i="5"/>
  <c r="AD11" i="5" s="1"/>
  <c r="N10" i="5"/>
  <c r="N11" i="5" s="1"/>
  <c r="N12" i="5" s="1"/>
  <c r="AN10" i="5"/>
  <c r="AN11" i="5" s="1"/>
  <c r="AN12" i="5" s="1"/>
  <c r="AW10" i="5"/>
  <c r="AW11" i="5" s="1"/>
  <c r="AC10" i="5"/>
  <c r="AC11" i="5" s="1"/>
  <c r="I10" i="5"/>
  <c r="I11" i="5" s="1"/>
  <c r="BA10" i="5"/>
  <c r="BA11" i="5" s="1"/>
  <c r="BA12" i="5" s="1"/>
  <c r="AK10" i="5"/>
  <c r="AK11" i="5" s="1"/>
  <c r="U10" i="5"/>
  <c r="U11" i="5" s="1"/>
  <c r="E10" i="5"/>
  <c r="E11" i="5" s="1"/>
  <c r="E24" i="2"/>
  <c r="E26" i="2" s="1"/>
  <c r="E27" i="2" s="1"/>
  <c r="H23" i="2"/>
  <c r="AZ21" i="5"/>
  <c r="AZ26" i="5" s="1"/>
  <c r="Z21" i="5"/>
  <c r="Z26" i="5" s="1"/>
  <c r="AG21" i="5"/>
  <c r="AG26" i="5" s="1"/>
  <c r="F9" i="2"/>
  <c r="D18" i="4"/>
  <c r="D19" i="4" s="1"/>
  <c r="BC16" i="5"/>
  <c r="BC18" i="5"/>
  <c r="BC19" i="5" s="1"/>
  <c r="K8" i="3"/>
  <c r="J13" i="3"/>
  <c r="I25" i="2"/>
  <c r="AM21" i="5" l="1"/>
  <c r="AM26" i="5" s="1"/>
  <c r="AM28" i="5" s="1"/>
  <c r="AM30" i="5" s="1"/>
  <c r="AM31" i="5" s="1"/>
  <c r="D21" i="5"/>
  <c r="D26" i="5" s="1"/>
  <c r="D28" i="5" s="1"/>
  <c r="D30" i="5" s="1"/>
  <c r="D31" i="5" s="1"/>
  <c r="F21" i="5"/>
  <c r="F26" i="5" s="1"/>
  <c r="F28" i="5" s="1"/>
  <c r="F30" i="5" s="1"/>
  <c r="F31" i="5" s="1"/>
  <c r="AU12" i="5"/>
  <c r="AX21" i="5"/>
  <c r="AX26" i="5" s="1"/>
  <c r="G26" i="5"/>
  <c r="G28" i="5" s="1"/>
  <c r="G30" i="5" s="1"/>
  <c r="G31" i="5" s="1"/>
  <c r="AU26" i="5"/>
  <c r="AU28" i="5" s="1"/>
  <c r="AU30" i="5" s="1"/>
  <c r="AU31" i="5" s="1"/>
  <c r="AY26" i="5"/>
  <c r="AY28" i="5" s="1"/>
  <c r="AY30" i="5" s="1"/>
  <c r="AY31" i="5" s="1"/>
  <c r="AL21" i="5"/>
  <c r="AL26" i="5" s="1"/>
  <c r="Y21" i="5"/>
  <c r="Y26" i="5" s="1"/>
  <c r="Y28" i="5" s="1"/>
  <c r="Y30" i="5" s="1"/>
  <c r="Y31" i="5" s="1"/>
  <c r="T21" i="5"/>
  <c r="J21" i="5"/>
  <c r="AP21" i="5"/>
  <c r="W21" i="5"/>
  <c r="BB21" i="5"/>
  <c r="AR21" i="5"/>
  <c r="AJ21" i="5"/>
  <c r="AF21" i="5"/>
  <c r="R21" i="5"/>
  <c r="AI21" i="5"/>
  <c r="AH21" i="5"/>
  <c r="AV21" i="5"/>
  <c r="N21" i="5"/>
  <c r="S21" i="5"/>
  <c r="P21" i="5"/>
  <c r="L21" i="5"/>
  <c r="M21" i="5"/>
  <c r="M26" i="5" s="1"/>
  <c r="AS21" i="5"/>
  <c r="AO21" i="5"/>
  <c r="Q21" i="5"/>
  <c r="AE21" i="5"/>
  <c r="AY12" i="5"/>
  <c r="V21" i="5"/>
  <c r="H21" i="5"/>
  <c r="AB21" i="5"/>
  <c r="G12" i="5"/>
  <c r="AN21" i="5"/>
  <c r="BA21" i="5"/>
  <c r="AK21" i="5"/>
  <c r="AK12" i="5"/>
  <c r="AW21" i="5"/>
  <c r="AW12" i="5"/>
  <c r="AT21" i="5"/>
  <c r="AT12" i="5"/>
  <c r="X21" i="5"/>
  <c r="X12" i="5"/>
  <c r="E21" i="5"/>
  <c r="E12" i="5"/>
  <c r="I21" i="5"/>
  <c r="I12" i="5"/>
  <c r="K21" i="5"/>
  <c r="K12" i="5"/>
  <c r="AQ21" i="5"/>
  <c r="AQ12" i="5"/>
  <c r="U21" i="5"/>
  <c r="U12" i="5"/>
  <c r="AC21" i="5"/>
  <c r="AC12" i="5"/>
  <c r="AD21" i="5"/>
  <c r="AD12" i="5"/>
  <c r="AA21" i="5"/>
  <c r="AA12" i="5"/>
  <c r="AA21" i="10"/>
  <c r="AA12" i="10"/>
  <c r="O21" i="10"/>
  <c r="O12" i="10"/>
  <c r="L21" i="10"/>
  <c r="L12" i="10"/>
  <c r="AU21" i="10"/>
  <c r="AU12" i="10"/>
  <c r="F21" i="10"/>
  <c r="F12" i="10"/>
  <c r="Y21" i="10"/>
  <c r="Y12" i="10"/>
  <c r="AR21" i="10"/>
  <c r="AR12" i="10"/>
  <c r="AX21" i="10"/>
  <c r="AX12" i="10"/>
  <c r="AM21" i="10"/>
  <c r="AM12" i="10"/>
  <c r="AD21" i="10"/>
  <c r="AD12" i="10"/>
  <c r="AK21" i="10"/>
  <c r="AK12" i="10"/>
  <c r="E21" i="10"/>
  <c r="E12" i="10"/>
  <c r="H21" i="10"/>
  <c r="H12" i="10"/>
  <c r="AI21" i="10"/>
  <c r="AI12" i="10"/>
  <c r="J21" i="10"/>
  <c r="J12" i="10"/>
  <c r="BB21" i="10"/>
  <c r="BB12" i="10"/>
  <c r="AW21" i="10"/>
  <c r="AW12" i="10"/>
  <c r="Q21" i="10"/>
  <c r="Q12" i="10"/>
  <c r="AZ21" i="10"/>
  <c r="AZ12" i="10"/>
  <c r="AJ21" i="10"/>
  <c r="AJ12" i="10"/>
  <c r="T21" i="10"/>
  <c r="T12" i="10"/>
  <c r="D21" i="10"/>
  <c r="D12" i="10"/>
  <c r="AQ21" i="10"/>
  <c r="AQ12" i="10"/>
  <c r="Z21" i="10"/>
  <c r="Z12" i="10"/>
  <c r="AL21" i="10"/>
  <c r="AL12" i="10"/>
  <c r="AO21" i="10"/>
  <c r="AO12" i="10"/>
  <c r="I21" i="10"/>
  <c r="I12" i="10"/>
  <c r="AB21" i="10"/>
  <c r="AB12" i="10"/>
  <c r="K21" i="10"/>
  <c r="K12" i="10"/>
  <c r="R21" i="10"/>
  <c r="R12" i="10"/>
  <c r="G21" i="10"/>
  <c r="G12" i="10"/>
  <c r="BA21" i="10"/>
  <c r="BA12" i="10"/>
  <c r="U21" i="10"/>
  <c r="U12" i="10"/>
  <c r="AN21" i="10"/>
  <c r="AN12" i="10"/>
  <c r="X21" i="10"/>
  <c r="X12" i="10"/>
  <c r="AP21" i="10"/>
  <c r="AP12" i="10"/>
  <c r="AE21" i="10"/>
  <c r="AE12" i="10"/>
  <c r="V21" i="10"/>
  <c r="V12" i="10"/>
  <c r="AG21" i="10"/>
  <c r="AG12" i="10"/>
  <c r="S21" i="10"/>
  <c r="S12" i="10"/>
  <c r="AY21" i="10"/>
  <c r="AY12" i="10"/>
  <c r="AH21" i="10"/>
  <c r="AH12" i="10"/>
  <c r="W21" i="10"/>
  <c r="W12" i="10"/>
  <c r="AT21" i="10"/>
  <c r="AT12" i="10"/>
  <c r="N21" i="10"/>
  <c r="N12" i="10"/>
  <c r="AS21" i="10"/>
  <c r="AS12" i="10"/>
  <c r="AC21" i="10"/>
  <c r="AC12" i="10"/>
  <c r="M21" i="10"/>
  <c r="M12" i="10"/>
  <c r="AV21" i="10"/>
  <c r="AV12" i="10"/>
  <c r="AF21" i="10"/>
  <c r="AF12" i="10"/>
  <c r="P21" i="10"/>
  <c r="P12" i="10"/>
  <c r="F24" i="2"/>
  <c r="F26" i="2" s="1"/>
  <c r="F27" i="2" s="1"/>
  <c r="BC10" i="10"/>
  <c r="E10" i="2" s="1"/>
  <c r="C11" i="10"/>
  <c r="C12" i="10" s="1"/>
  <c r="BC10" i="5"/>
  <c r="D10" i="2" s="1"/>
  <c r="D11" i="2" s="1"/>
  <c r="D12" i="2" s="1"/>
  <c r="AL28" i="5"/>
  <c r="AL30" i="5" s="1"/>
  <c r="AL31" i="5" s="1"/>
  <c r="Z28" i="5"/>
  <c r="Z30" i="5" s="1"/>
  <c r="Z31" i="5" s="1"/>
  <c r="M28" i="5"/>
  <c r="M30" i="5" s="1"/>
  <c r="M31" i="5" s="1"/>
  <c r="AG28" i="5"/>
  <c r="AG30" i="5" s="1"/>
  <c r="AG31" i="5" s="1"/>
  <c r="AZ28" i="5"/>
  <c r="AZ30" i="5" s="1"/>
  <c r="AZ31" i="5" s="1"/>
  <c r="AX28" i="5"/>
  <c r="AX30" i="5" s="1"/>
  <c r="AX31" i="5" s="1"/>
  <c r="I23" i="2"/>
  <c r="G9" i="2"/>
  <c r="E18" i="4"/>
  <c r="E19" i="4" s="1"/>
  <c r="C21" i="5"/>
  <c r="C26" i="5" s="1"/>
  <c r="L8" i="3"/>
  <c r="K13" i="3"/>
  <c r="BC11" i="5"/>
  <c r="BC12" i="5" s="1"/>
  <c r="O21" i="5"/>
  <c r="O26" i="5" s="1"/>
  <c r="J25" i="2"/>
  <c r="AS26" i="5" l="1"/>
  <c r="AS28" i="5" s="1"/>
  <c r="AS30" i="5" s="1"/>
  <c r="AS31" i="5" s="1"/>
  <c r="S26" i="5"/>
  <c r="S28" i="5" s="1"/>
  <c r="S30" i="5" s="1"/>
  <c r="S31" i="5" s="1"/>
  <c r="AI26" i="5"/>
  <c r="AI28" i="5" s="1"/>
  <c r="AI30" i="5" s="1"/>
  <c r="AI31" i="5" s="1"/>
  <c r="AR26" i="5"/>
  <c r="AR28" i="5" s="1"/>
  <c r="AR30" i="5" s="1"/>
  <c r="AR31" i="5" s="1"/>
  <c r="J26" i="5"/>
  <c r="J28" i="5" s="1"/>
  <c r="J30" i="5" s="1"/>
  <c r="J31" i="5" s="1"/>
  <c r="AV26" i="10"/>
  <c r="AV28" i="10" s="1"/>
  <c r="AV30" i="10" s="1"/>
  <c r="AV31" i="10" s="1"/>
  <c r="AC26" i="10"/>
  <c r="AC28" i="10" s="1"/>
  <c r="AC30" i="10" s="1"/>
  <c r="AC31" i="10" s="1"/>
  <c r="W26" i="10"/>
  <c r="W28" i="10" s="1"/>
  <c r="W30" i="10" s="1"/>
  <c r="W31" i="10" s="1"/>
  <c r="AY26" i="10"/>
  <c r="AY28" i="10" s="1"/>
  <c r="AY30" i="10" s="1"/>
  <c r="AY31" i="10" s="1"/>
  <c r="AG26" i="10"/>
  <c r="AG28" i="10" s="1"/>
  <c r="AG30" i="10" s="1"/>
  <c r="AG31" i="10" s="1"/>
  <c r="AE26" i="10"/>
  <c r="AE28" i="10" s="1"/>
  <c r="AE30" i="10" s="1"/>
  <c r="AE31" i="10" s="1"/>
  <c r="X26" i="10"/>
  <c r="X28" i="10" s="1"/>
  <c r="X30" i="10" s="1"/>
  <c r="X31" i="10" s="1"/>
  <c r="U26" i="10"/>
  <c r="U28" i="10" s="1"/>
  <c r="U30" i="10" s="1"/>
  <c r="U31" i="10" s="1"/>
  <c r="G26" i="10"/>
  <c r="G28" i="10" s="1"/>
  <c r="G30" i="10" s="1"/>
  <c r="G31" i="10" s="1"/>
  <c r="K26" i="10"/>
  <c r="K28" i="10" s="1"/>
  <c r="K30" i="10" s="1"/>
  <c r="K31" i="10" s="1"/>
  <c r="I26" i="10"/>
  <c r="I28" i="10" s="1"/>
  <c r="I30" i="10" s="1"/>
  <c r="I31" i="10" s="1"/>
  <c r="AL26" i="10"/>
  <c r="AL28" i="10" s="1"/>
  <c r="AL30" i="10" s="1"/>
  <c r="AL31" i="10" s="1"/>
  <c r="AQ26" i="10"/>
  <c r="AQ28" i="10" s="1"/>
  <c r="AQ30" i="10" s="1"/>
  <c r="AQ31" i="10" s="1"/>
  <c r="T26" i="10"/>
  <c r="T28" i="10" s="1"/>
  <c r="T30" i="10" s="1"/>
  <c r="T31" i="10" s="1"/>
  <c r="AZ26" i="10"/>
  <c r="AZ28" i="10" s="1"/>
  <c r="AZ30" i="10" s="1"/>
  <c r="AZ31" i="10" s="1"/>
  <c r="AW26" i="10"/>
  <c r="AW28" i="10" s="1"/>
  <c r="AW30" i="10" s="1"/>
  <c r="AW31" i="10" s="1"/>
  <c r="J26" i="10"/>
  <c r="J28" i="10" s="1"/>
  <c r="J30" i="10" s="1"/>
  <c r="J31" i="10" s="1"/>
  <c r="H26" i="10"/>
  <c r="H28" i="10" s="1"/>
  <c r="H30" i="10" s="1"/>
  <c r="H31" i="10" s="1"/>
  <c r="AK26" i="10"/>
  <c r="AK28" i="10" s="1"/>
  <c r="AK30" i="10" s="1"/>
  <c r="AK31" i="10" s="1"/>
  <c r="AM26" i="10"/>
  <c r="AM28" i="10" s="1"/>
  <c r="AM30" i="10" s="1"/>
  <c r="AM31" i="10" s="1"/>
  <c r="AR26" i="10"/>
  <c r="AR28" i="10" s="1"/>
  <c r="AR30" i="10" s="1"/>
  <c r="AR31" i="10" s="1"/>
  <c r="F26" i="10"/>
  <c r="F28" i="10" s="1"/>
  <c r="F30" i="10" s="1"/>
  <c r="F31" i="10" s="1"/>
  <c r="L26" i="10"/>
  <c r="L28" i="10" s="1"/>
  <c r="L30" i="10" s="1"/>
  <c r="L31" i="10" s="1"/>
  <c r="AA26" i="10"/>
  <c r="AA28" i="10" s="1"/>
  <c r="AA30" i="10" s="1"/>
  <c r="AA31" i="10" s="1"/>
  <c r="AD26" i="5"/>
  <c r="AD28" i="5" s="1"/>
  <c r="AD30" i="5" s="1"/>
  <c r="AD31" i="5" s="1"/>
  <c r="U26" i="5"/>
  <c r="U28" i="5" s="1"/>
  <c r="U30" i="5" s="1"/>
  <c r="U31" i="5" s="1"/>
  <c r="K26" i="5"/>
  <c r="K28" i="5" s="1"/>
  <c r="K30" i="5" s="1"/>
  <c r="K31" i="5" s="1"/>
  <c r="E26" i="5"/>
  <c r="E28" i="5" s="1"/>
  <c r="E30" i="5" s="1"/>
  <c r="E31" i="5" s="1"/>
  <c r="AT26" i="5"/>
  <c r="AT28" i="5" s="1"/>
  <c r="AT30" i="5" s="1"/>
  <c r="AT31" i="5" s="1"/>
  <c r="AK26" i="5"/>
  <c r="AK28" i="5" s="1"/>
  <c r="AK30" i="5" s="1"/>
  <c r="AK31" i="5" s="1"/>
  <c r="AB26" i="5"/>
  <c r="AB28" i="5" s="1"/>
  <c r="AB30" i="5" s="1"/>
  <c r="AB31" i="5" s="1"/>
  <c r="AE26" i="5"/>
  <c r="AE28" i="5" s="1"/>
  <c r="AE30" i="5" s="1"/>
  <c r="AE31" i="5" s="1"/>
  <c r="N26" i="5"/>
  <c r="N28" i="5" s="1"/>
  <c r="N30" i="5" s="1"/>
  <c r="N31" i="5" s="1"/>
  <c r="R26" i="5"/>
  <c r="R28" i="5" s="1"/>
  <c r="R30" i="5" s="1"/>
  <c r="R31" i="5" s="1"/>
  <c r="BB26" i="5"/>
  <c r="BB28" i="5" s="1"/>
  <c r="BB30" i="5" s="1"/>
  <c r="BB31" i="5" s="1"/>
  <c r="T26" i="5"/>
  <c r="T28" i="5" s="1"/>
  <c r="T30" i="5" s="1"/>
  <c r="T31" i="5" s="1"/>
  <c r="P26" i="10"/>
  <c r="P28" i="10" s="1"/>
  <c r="P30" i="10" s="1"/>
  <c r="P31" i="10" s="1"/>
  <c r="N26" i="10"/>
  <c r="N28" i="10" s="1"/>
  <c r="N30" i="10" s="1"/>
  <c r="N31" i="10" s="1"/>
  <c r="BA26" i="5"/>
  <c r="BA28" i="5" s="1"/>
  <c r="BA30" i="5" s="1"/>
  <c r="BA31" i="5" s="1"/>
  <c r="H26" i="5"/>
  <c r="H28" i="5" s="1"/>
  <c r="H30" i="5" s="1"/>
  <c r="H31" i="5" s="1"/>
  <c r="Q26" i="5"/>
  <c r="Q28" i="5" s="1"/>
  <c r="Q30" i="5" s="1"/>
  <c r="Q31" i="5" s="1"/>
  <c r="L26" i="5"/>
  <c r="L28" i="5" s="1"/>
  <c r="L30" i="5" s="1"/>
  <c r="L31" i="5" s="1"/>
  <c r="AV26" i="5"/>
  <c r="AV28" i="5" s="1"/>
  <c r="AV30" i="5" s="1"/>
  <c r="AV31" i="5" s="1"/>
  <c r="AF26" i="5"/>
  <c r="AF28" i="5" s="1"/>
  <c r="AF30" i="5" s="1"/>
  <c r="AF31" i="5" s="1"/>
  <c r="W26" i="5"/>
  <c r="W28" i="5" s="1"/>
  <c r="W30" i="5" s="1"/>
  <c r="W31" i="5" s="1"/>
  <c r="AF26" i="10"/>
  <c r="AF28" i="10" s="1"/>
  <c r="AF30" i="10" s="1"/>
  <c r="AF31" i="10" s="1"/>
  <c r="M26" i="10"/>
  <c r="M28" i="10" s="1"/>
  <c r="M30" i="10" s="1"/>
  <c r="M31" i="10" s="1"/>
  <c r="AS26" i="10"/>
  <c r="AS28" i="10" s="1"/>
  <c r="AS30" i="10" s="1"/>
  <c r="AS31" i="10" s="1"/>
  <c r="AT26" i="10"/>
  <c r="AT28" i="10" s="1"/>
  <c r="AT30" i="10" s="1"/>
  <c r="AT31" i="10" s="1"/>
  <c r="AH26" i="10"/>
  <c r="AH28" i="10" s="1"/>
  <c r="AH30" i="10" s="1"/>
  <c r="AH31" i="10" s="1"/>
  <c r="S26" i="10"/>
  <c r="S28" i="10" s="1"/>
  <c r="S30" i="10" s="1"/>
  <c r="S31" i="10" s="1"/>
  <c r="V26" i="10"/>
  <c r="V28" i="10" s="1"/>
  <c r="V30" i="10" s="1"/>
  <c r="V31" i="10" s="1"/>
  <c r="AP26" i="10"/>
  <c r="AP28" i="10" s="1"/>
  <c r="AP30" i="10" s="1"/>
  <c r="AP31" i="10" s="1"/>
  <c r="AN26" i="10"/>
  <c r="AN28" i="10" s="1"/>
  <c r="AN30" i="10" s="1"/>
  <c r="AN31" i="10" s="1"/>
  <c r="BA26" i="10"/>
  <c r="BA28" i="10" s="1"/>
  <c r="BA30" i="10" s="1"/>
  <c r="BA31" i="10" s="1"/>
  <c r="R26" i="10"/>
  <c r="R28" i="10" s="1"/>
  <c r="R30" i="10" s="1"/>
  <c r="R31" i="10" s="1"/>
  <c r="AB26" i="10"/>
  <c r="AB28" i="10" s="1"/>
  <c r="AB30" i="10" s="1"/>
  <c r="AB31" i="10" s="1"/>
  <c r="AO26" i="10"/>
  <c r="AO28" i="10" s="1"/>
  <c r="AO30" i="10" s="1"/>
  <c r="AO31" i="10" s="1"/>
  <c r="Z26" i="10"/>
  <c r="Z28" i="10" s="1"/>
  <c r="Z30" i="10" s="1"/>
  <c r="Z31" i="10" s="1"/>
  <c r="D26" i="10"/>
  <c r="D28" i="10" s="1"/>
  <c r="D30" i="10" s="1"/>
  <c r="D31" i="10" s="1"/>
  <c r="AJ26" i="10"/>
  <c r="AJ28" i="10" s="1"/>
  <c r="AJ30" i="10" s="1"/>
  <c r="AJ31" i="10" s="1"/>
  <c r="Q26" i="10"/>
  <c r="Q28" i="10" s="1"/>
  <c r="Q30" i="10" s="1"/>
  <c r="Q31" i="10" s="1"/>
  <c r="BB26" i="10"/>
  <c r="BB28" i="10" s="1"/>
  <c r="BB30" i="10" s="1"/>
  <c r="BB31" i="10" s="1"/>
  <c r="AI26" i="10"/>
  <c r="AI28" i="10" s="1"/>
  <c r="AI30" i="10" s="1"/>
  <c r="AI31" i="10" s="1"/>
  <c r="E26" i="10"/>
  <c r="E28" i="10" s="1"/>
  <c r="E30" i="10" s="1"/>
  <c r="E31" i="10" s="1"/>
  <c r="AD26" i="10"/>
  <c r="AD28" i="10" s="1"/>
  <c r="AD30" i="10" s="1"/>
  <c r="AD31" i="10" s="1"/>
  <c r="AX26" i="10"/>
  <c r="AX28" i="10" s="1"/>
  <c r="AX30" i="10" s="1"/>
  <c r="AX31" i="10" s="1"/>
  <c r="Y26" i="10"/>
  <c r="Y28" i="10" s="1"/>
  <c r="Y30" i="10" s="1"/>
  <c r="Y31" i="10" s="1"/>
  <c r="AU26" i="10"/>
  <c r="AU28" i="10" s="1"/>
  <c r="AU30" i="10" s="1"/>
  <c r="AU31" i="10" s="1"/>
  <c r="O26" i="10"/>
  <c r="O28" i="10" s="1"/>
  <c r="O30" i="10" s="1"/>
  <c r="O31" i="10" s="1"/>
  <c r="AA26" i="5"/>
  <c r="AA28" i="5" s="1"/>
  <c r="AA30" i="5" s="1"/>
  <c r="AA31" i="5" s="1"/>
  <c r="AC26" i="5"/>
  <c r="AC28" i="5" s="1"/>
  <c r="AC30" i="5" s="1"/>
  <c r="AC31" i="5" s="1"/>
  <c r="AQ26" i="5"/>
  <c r="AQ28" i="5" s="1"/>
  <c r="AQ30" i="5" s="1"/>
  <c r="AQ31" i="5" s="1"/>
  <c r="I26" i="5"/>
  <c r="I28" i="5" s="1"/>
  <c r="I30" i="5" s="1"/>
  <c r="I31" i="5" s="1"/>
  <c r="X26" i="5"/>
  <c r="X28" i="5" s="1"/>
  <c r="X30" i="5" s="1"/>
  <c r="X31" i="5" s="1"/>
  <c r="AW26" i="5"/>
  <c r="AW28" i="5" s="1"/>
  <c r="AW30" i="5" s="1"/>
  <c r="AW31" i="5" s="1"/>
  <c r="AN26" i="5"/>
  <c r="AN28" i="5" s="1"/>
  <c r="AN30" i="5" s="1"/>
  <c r="AN31" i="5" s="1"/>
  <c r="V26" i="5"/>
  <c r="V28" i="5" s="1"/>
  <c r="V30" i="5" s="1"/>
  <c r="V31" i="5" s="1"/>
  <c r="AO26" i="5"/>
  <c r="AO28" i="5" s="1"/>
  <c r="AO30" i="5" s="1"/>
  <c r="AO31" i="5" s="1"/>
  <c r="P26" i="5"/>
  <c r="P28" i="5" s="1"/>
  <c r="P30" i="5" s="1"/>
  <c r="P31" i="5" s="1"/>
  <c r="AH26" i="5"/>
  <c r="AH28" i="5" s="1"/>
  <c r="AH30" i="5" s="1"/>
  <c r="AH31" i="5" s="1"/>
  <c r="AJ26" i="5"/>
  <c r="AJ28" i="5" s="1"/>
  <c r="AJ30" i="5" s="1"/>
  <c r="AJ31" i="5" s="1"/>
  <c r="AP26" i="5"/>
  <c r="AP28" i="5" s="1"/>
  <c r="AP30" i="5" s="1"/>
  <c r="AP31" i="5" s="1"/>
  <c r="G24" i="2"/>
  <c r="G26" i="2" s="1"/>
  <c r="G27" i="2" s="1"/>
  <c r="C21" i="10"/>
  <c r="C26" i="10" s="1"/>
  <c r="BC11" i="10"/>
  <c r="BC12" i="10" s="1"/>
  <c r="E11" i="2"/>
  <c r="E12" i="2" s="1"/>
  <c r="C28" i="5"/>
  <c r="C30" i="5" s="1"/>
  <c r="C31" i="5" s="1"/>
  <c r="J23" i="2"/>
  <c r="F18" i="4"/>
  <c r="F19" i="4" s="1"/>
  <c r="H9" i="2"/>
  <c r="M8" i="3"/>
  <c r="M13" i="3" s="1"/>
  <c r="L13" i="3"/>
  <c r="BC21" i="5"/>
  <c r="F10" i="2"/>
  <c r="K25" i="2"/>
  <c r="H24" i="2" l="1"/>
  <c r="H26" i="2" s="1"/>
  <c r="H27" i="2"/>
  <c r="BC21" i="10"/>
  <c r="K23" i="2"/>
  <c r="G18" i="4"/>
  <c r="G19" i="4" s="1"/>
  <c r="I9" i="2"/>
  <c r="O28" i="5"/>
  <c r="BC28" i="5" s="1"/>
  <c r="BC26" i="5"/>
  <c r="G10" i="2"/>
  <c r="F11" i="2"/>
  <c r="F12" i="2" s="1"/>
  <c r="L25" i="2"/>
  <c r="I24" i="2" l="1"/>
  <c r="I26" i="2" s="1"/>
  <c r="I27" i="2"/>
  <c r="C28" i="10"/>
  <c r="BC28" i="10" s="1"/>
  <c r="BC26" i="10"/>
  <c r="L23" i="2"/>
  <c r="H18" i="4"/>
  <c r="H19" i="4" s="1"/>
  <c r="J9" i="2"/>
  <c r="BC30" i="5"/>
  <c r="BC31" i="5" s="1"/>
  <c r="H10" i="2"/>
  <c r="G11" i="2"/>
  <c r="G12" i="2" s="1"/>
  <c r="O30" i="5"/>
  <c r="O31" i="5" s="1"/>
  <c r="J24" i="2"/>
  <c r="J26" i="2" s="1"/>
  <c r="M25" i="2"/>
  <c r="C30" i="10" l="1"/>
  <c r="C31" i="10" s="1"/>
  <c r="J27" i="2"/>
  <c r="BC30" i="10"/>
  <c r="BC31" i="10" s="1"/>
  <c r="M23" i="2"/>
  <c r="I18" i="4"/>
  <c r="I19" i="4" s="1"/>
  <c r="K9" i="2"/>
  <c r="I10" i="2"/>
  <c r="H11" i="2"/>
  <c r="H12" i="2" s="1"/>
  <c r="K24" i="2"/>
  <c r="K26" i="2" s="1"/>
  <c r="K27" i="2" l="1"/>
  <c r="J18" i="4"/>
  <c r="J19" i="4" s="1"/>
  <c r="L9" i="2"/>
  <c r="J10" i="2"/>
  <c r="I11" i="2"/>
  <c r="I12" i="2" s="1"/>
  <c r="L24" i="2"/>
  <c r="L26" i="2" s="1"/>
  <c r="L27" i="2" l="1"/>
  <c r="K18" i="4"/>
  <c r="K19" i="4" s="1"/>
  <c r="M9" i="2"/>
  <c r="K10" i="2"/>
  <c r="J11" i="2"/>
  <c r="J12" i="2" s="1"/>
  <c r="M24" i="2"/>
  <c r="M26" i="2" s="1"/>
  <c r="L18" i="4" l="1"/>
  <c r="L19" i="4" s="1"/>
  <c r="M27" i="2"/>
  <c r="L10" i="2"/>
  <c r="K11" i="2"/>
  <c r="K12" i="2" s="1"/>
  <c r="M10" i="2" l="1"/>
  <c r="M11" i="2" s="1"/>
  <c r="M12" i="2" s="1"/>
  <c r="L11" i="2"/>
  <c r="L12" i="2" s="1"/>
  <c r="K29" i="2" l="1"/>
  <c r="K34" i="2" s="1"/>
  <c r="I29" i="2"/>
  <c r="I34" i="2" s="1"/>
  <c r="L29" i="2"/>
  <c r="L34" i="2" s="1"/>
  <c r="J29" i="2"/>
  <c r="J34" i="2" s="1"/>
  <c r="G29" i="2"/>
  <c r="G34" i="2" s="1"/>
  <c r="H29" i="2"/>
  <c r="H34" i="2" s="1"/>
  <c r="F29" i="2"/>
  <c r="F34" i="2" s="1"/>
  <c r="E29" i="2"/>
  <c r="E34" i="2" s="1"/>
  <c r="D29" i="2"/>
  <c r="D34" i="2" s="1"/>
  <c r="M29" i="2"/>
  <c r="M34" i="2" s="1"/>
  <c r="M37" i="2" l="1"/>
  <c r="M39" i="2" s="1"/>
  <c r="H37" i="2"/>
  <c r="H39" i="2" s="1"/>
  <c r="K37" i="2"/>
  <c r="K39" i="2" s="1"/>
  <c r="L37" i="2"/>
  <c r="L39" i="2" s="1"/>
  <c r="E37" i="2"/>
  <c r="E39" i="2" s="1"/>
  <c r="J37" i="2"/>
  <c r="J39" i="2" s="1"/>
  <c r="D37" i="2"/>
  <c r="D39" i="2" s="1"/>
  <c r="F37" i="2"/>
  <c r="F39" i="2" s="1"/>
  <c r="G37" i="2"/>
  <c r="G39" i="2" s="1"/>
  <c r="I37" i="2"/>
  <c r="I39" i="2" s="1"/>
  <c r="F35" i="2" l="1"/>
  <c r="F42" i="2"/>
  <c r="L42" i="2"/>
  <c r="L35" i="2"/>
  <c r="D35" i="2"/>
  <c r="D42" i="2"/>
  <c r="K35" i="2"/>
  <c r="K42" i="2"/>
  <c r="J35" i="2"/>
  <c r="J42" i="2"/>
  <c r="H42" i="2"/>
  <c r="H35" i="2"/>
  <c r="G42" i="2"/>
  <c r="G35" i="2"/>
  <c r="E35" i="2"/>
  <c r="E42" i="2"/>
  <c r="M42" i="2"/>
  <c r="M35" i="2"/>
  <c r="I35" i="2"/>
  <c r="I42" i="2"/>
  <c r="C13" i="4"/>
  <c r="I24" i="4"/>
  <c r="I25" i="4" s="1"/>
  <c r="I21" i="4"/>
  <c r="I22" i="4" s="1"/>
  <c r="H24" i="4"/>
  <c r="H25" i="4" s="1"/>
  <c r="H21" i="4"/>
  <c r="H22" i="4" s="1"/>
  <c r="D21" i="4"/>
  <c r="D22" i="4" s="1"/>
  <c r="D24" i="4"/>
  <c r="D25" i="4" s="1"/>
  <c r="G21" i="4"/>
  <c r="G22" i="4" s="1"/>
  <c r="G24" i="4"/>
  <c r="G25" i="4" s="1"/>
  <c r="K24" i="4"/>
  <c r="K25" i="4" s="1"/>
  <c r="K21" i="4"/>
  <c r="K22" i="4" s="1"/>
  <c r="L21" i="4"/>
  <c r="L22" i="4" s="1"/>
  <c r="L24" i="4"/>
  <c r="L25" i="4" s="1"/>
  <c r="J21" i="4"/>
  <c r="J22" i="4" s="1"/>
  <c r="J24" i="4"/>
  <c r="J25" i="4" s="1"/>
  <c r="E24" i="4"/>
  <c r="E25" i="4" s="1"/>
  <c r="E21" i="4"/>
  <c r="E22" i="4" s="1"/>
  <c r="F24" i="4"/>
  <c r="F25" i="4" s="1"/>
  <c r="F21" i="4"/>
  <c r="F22" i="4" s="1"/>
  <c r="G41" i="2"/>
  <c r="H41" i="2"/>
  <c r="K41" i="2"/>
  <c r="C24" i="4"/>
  <c r="C25" i="4" s="1"/>
  <c r="E41" i="2"/>
  <c r="D24" i="3"/>
  <c r="C21" i="4"/>
  <c r="C22" i="4" s="1"/>
  <c r="J41" i="2"/>
  <c r="I41" i="2"/>
  <c r="D41" i="2"/>
  <c r="M41" i="2"/>
  <c r="L41" i="2"/>
  <c r="F41" i="2"/>
  <c r="C14" i="4" l="1"/>
  <c r="F10" i="4"/>
  <c r="F12" i="4" s="1"/>
  <c r="E43" i="2"/>
  <c r="H43" i="2"/>
  <c r="F43" i="2"/>
  <c r="I43" i="2"/>
  <c r="G43" i="2"/>
  <c r="L43" i="2"/>
  <c r="J43" i="2"/>
  <c r="M43" i="2"/>
  <c r="K43" i="2"/>
  <c r="D43" i="2"/>
  <c r="F4" i="4" l="1"/>
</calcChain>
</file>

<file path=xl/sharedStrings.xml><?xml version="1.0" encoding="utf-8"?>
<sst xmlns="http://schemas.openxmlformats.org/spreadsheetml/2006/main" count="740" uniqueCount="469">
  <si>
    <t>Revenue Assumptions</t>
  </si>
  <si>
    <t>Avg. basket size</t>
  </si>
  <si>
    <t>Value</t>
  </si>
  <si>
    <t>Expected customers per day</t>
  </si>
  <si>
    <t>Sales per day</t>
  </si>
  <si>
    <t>Sales per month</t>
  </si>
  <si>
    <t>Sales per quarter</t>
  </si>
  <si>
    <t>Start-Up Expenses</t>
  </si>
  <si>
    <t>Gondolas - cost per 4 ft</t>
  </si>
  <si>
    <t>Gondolas - total ft</t>
  </si>
  <si>
    <t>Gondolas - total cost</t>
  </si>
  <si>
    <t>New Equipment Costs</t>
  </si>
  <si>
    <t>Coffin coolers - cost per unit</t>
  </si>
  <si>
    <t>Coffin coolers - total units</t>
  </si>
  <si>
    <t>Coffin coolers - total cost</t>
  </si>
  <si>
    <t>Gondolas - expected lifetime (years)</t>
  </si>
  <si>
    <t>Coffin coolers - expected lifetime (years)</t>
  </si>
  <si>
    <t>Total New Equipment Costs</t>
  </si>
  <si>
    <t>Building Renovation</t>
  </si>
  <si>
    <t>Used Equipment Costs</t>
  </si>
  <si>
    <t>Total Used Equipment Costs</t>
  </si>
  <si>
    <t>.</t>
  </si>
  <si>
    <t>Floor resurfacing</t>
  </si>
  <si>
    <t>Other new equipment - total cost</t>
  </si>
  <si>
    <t>Other used equipment - total cost</t>
  </si>
  <si>
    <t>Back property taxes</t>
  </si>
  <si>
    <t>Blight violations</t>
  </si>
  <si>
    <t>Renovation / One-Time Building Costs</t>
  </si>
  <si>
    <t>Backroom renovation</t>
  </si>
  <si>
    <t>Refrigeration inspection</t>
  </si>
  <si>
    <t>Other building renovations</t>
  </si>
  <si>
    <t>Café installation</t>
  </si>
  <si>
    <t>Total Renovation / One-Time Building Costs</t>
  </si>
  <si>
    <t>Inventory Stock-Up</t>
  </si>
  <si>
    <t>Shelf Label</t>
  </si>
  <si>
    <t>Total Merchandising Costs</t>
  </si>
  <si>
    <t>Sales per week</t>
  </si>
  <si>
    <t>Department Supervisor Annual Salary</t>
  </si>
  <si>
    <t>Department Supervisor - Weeks of Training/Launch</t>
  </si>
  <si>
    <t>Department Supervisor - Other Annual Comp</t>
  </si>
  <si>
    <t># of Department Supervisors</t>
  </si>
  <si>
    <t>Department Supervisor Start-Up Expense</t>
  </si>
  <si>
    <t>Specialist Hourly Wage</t>
  </si>
  <si>
    <t>Specialist - Other Weekly Comp</t>
  </si>
  <si>
    <t>Specialist - Weeks of Training/Launch</t>
  </si>
  <si>
    <t>Specialist Start-Up Expense</t>
  </si>
  <si>
    <t>Cust Service Rep Hourly Wage</t>
  </si>
  <si>
    <t>Cust Service Rep - Other Weekly Comp</t>
  </si>
  <si>
    <t>Cust Service Rep - Weeks of Training/Launch</t>
  </si>
  <si>
    <t>Cust Service Rep Start-Up Expense</t>
  </si>
  <si>
    <t>Total Start-Up Costs</t>
  </si>
  <si>
    <t>Operating Expenses</t>
  </si>
  <si>
    <t>Operating Expense Assumptions</t>
  </si>
  <si>
    <t>Sales per week (override)</t>
  </si>
  <si>
    <t>Sales per quarter (override calc.)</t>
  </si>
  <si>
    <t>Prepared Meals</t>
  </si>
  <si>
    <t>Grocery</t>
  </si>
  <si>
    <t>Produce</t>
  </si>
  <si>
    <t>Meat</t>
  </si>
  <si>
    <t>Frozen Food</t>
  </si>
  <si>
    <t>Dairy</t>
  </si>
  <si>
    <t>Bakery</t>
  </si>
  <si>
    <t>Deli</t>
  </si>
  <si>
    <t>Liquor</t>
  </si>
  <si>
    <t>Pop</t>
  </si>
  <si>
    <t>Projected % of Sales</t>
  </si>
  <si>
    <t>Total</t>
  </si>
  <si>
    <t>Labor Costs</t>
  </si>
  <si>
    <t>Gross Margin %</t>
  </si>
  <si>
    <t>Yr 1 Sales</t>
  </si>
  <si>
    <t>Yr 1 Gross Margin</t>
  </si>
  <si>
    <t>Department Supervisor Annual Expense</t>
  </si>
  <si>
    <t>Total Labor Start-Up Costs</t>
  </si>
  <si>
    <t>Total Labor Expenses</t>
  </si>
  <si>
    <t>Property Costs (prior to opening)</t>
  </si>
  <si>
    <t>Supplies expense</t>
  </si>
  <si>
    <t>Rent expense</t>
  </si>
  <si>
    <t>Insurance expense</t>
  </si>
  <si>
    <t>Utilities expense</t>
  </si>
  <si>
    <t>Maintenance expense</t>
  </si>
  <si>
    <t>Property tax expense</t>
  </si>
  <si>
    <t>Total Property Costs (prior to opening)</t>
  </si>
  <si>
    <t>Total Property Expenses</t>
  </si>
  <si>
    <t>Labor Expenses</t>
  </si>
  <si>
    <t>Other Expenses</t>
  </si>
  <si>
    <t>Advertising</t>
  </si>
  <si>
    <t>Accounting</t>
  </si>
  <si>
    <t>Laundry &amp; Uniforms</t>
  </si>
  <si>
    <t>Janitor/Maintenance Service/Supply</t>
  </si>
  <si>
    <t>Postage/Telephone/Office Supply</t>
  </si>
  <si>
    <t>Pest Control &amp; Trash Removal</t>
  </si>
  <si>
    <t>Total Other Expenses</t>
  </si>
  <si>
    <t>Financing Assumptions</t>
  </si>
  <si>
    <t>Debt</t>
  </si>
  <si>
    <t>Debt Item</t>
  </si>
  <si>
    <t>Debt Amount</t>
  </si>
  <si>
    <t>Interest Rate</t>
  </si>
  <si>
    <t>Example Loan 1</t>
  </si>
  <si>
    <t>KIVA</t>
  </si>
  <si>
    <t>Total Debt</t>
  </si>
  <si>
    <t>Equity</t>
  </si>
  <si>
    <t>Equity Item</t>
  </si>
  <si>
    <t>Equity Amount</t>
  </si>
  <si>
    <t>Private Investment Equity / Preferred</t>
  </si>
  <si>
    <t>Equity Crowdfunding</t>
  </si>
  <si>
    <t>Total Equity</t>
  </si>
  <si>
    <t>Grants</t>
  </si>
  <si>
    <t>Grant Item</t>
  </si>
  <si>
    <t>Grant Amount</t>
  </si>
  <si>
    <t>Total Grants</t>
  </si>
  <si>
    <t>Total Annual Operating Expenses</t>
  </si>
  <si>
    <t>Income Statement</t>
  </si>
  <si>
    <t>Sales</t>
  </si>
  <si>
    <t>(-) COGS</t>
  </si>
  <si>
    <t>Gross Profit</t>
  </si>
  <si>
    <t>Year 1</t>
  </si>
  <si>
    <t>Proj. Year 2</t>
  </si>
  <si>
    <t>Proj. Year 3</t>
  </si>
  <si>
    <t>Proj. Year 4</t>
  </si>
  <si>
    <t>Proj. Year 5</t>
  </si>
  <si>
    <t>Proj. Year 6</t>
  </si>
  <si>
    <t>Proj. Year 7</t>
  </si>
  <si>
    <t>Proj. Year 8</t>
  </si>
  <si>
    <t>Proj. Year 9</t>
  </si>
  <si>
    <t>Proj. Year 10</t>
  </si>
  <si>
    <t>Inflation Rate</t>
  </si>
  <si>
    <t>Year 0 (startup)</t>
  </si>
  <si>
    <t>Equipment Purchase</t>
  </si>
  <si>
    <t>Property Costs (before opening)</t>
  </si>
  <si>
    <t>Marketing expense (before open)</t>
  </si>
  <si>
    <t>Labor costs (before opening)</t>
  </si>
  <si>
    <t>Start-up Expenses</t>
  </si>
  <si>
    <t>Total Start-Up Expenses</t>
  </si>
  <si>
    <t>Labor expense</t>
  </si>
  <si>
    <t>Property &amp; equipment expenses</t>
  </si>
  <si>
    <t>Other expenses</t>
  </si>
  <si>
    <t>Total Operating Expenses</t>
  </si>
  <si>
    <t>EBITDA</t>
  </si>
  <si>
    <t>Sensitivity Analysis (+/- to Sales)</t>
  </si>
  <si>
    <t>Depreciation expense</t>
  </si>
  <si>
    <t>Pre-Tax Income</t>
  </si>
  <si>
    <t>Balance Sheet</t>
  </si>
  <si>
    <t>Assets</t>
  </si>
  <si>
    <t>Cash</t>
  </si>
  <si>
    <t>Receivables</t>
  </si>
  <si>
    <t>Inventory</t>
  </si>
  <si>
    <t>Equipment - New</t>
  </si>
  <si>
    <t>Equipment - Used</t>
  </si>
  <si>
    <t>Total Assets</t>
  </si>
  <si>
    <t>Liabilities &amp; Equity</t>
  </si>
  <si>
    <t>Accounts Payable</t>
  </si>
  <si>
    <t>Loans Payable</t>
  </si>
  <si>
    <t>Total Liab. + Equity</t>
  </si>
  <si>
    <t>Lease Information</t>
  </si>
  <si>
    <t>Lease expense / month</t>
  </si>
  <si>
    <t>Total number of months</t>
  </si>
  <si>
    <t>Number of months of lease prior to opening</t>
  </si>
  <si>
    <t>Other Expenses (Annual)</t>
  </si>
  <si>
    <t>&lt;--enter value here if you choose not to use basket size / customers per day as drivers above</t>
  </si>
  <si>
    <t>Sales per year (Year 1)</t>
  </si>
  <si>
    <t>Sales per year based on basket size (year 1)</t>
  </si>
  <si>
    <t>Refrigeration - total ft</t>
  </si>
  <si>
    <t>Refrigeration - total cost</t>
  </si>
  <si>
    <t>Refrigeration - expected lifetime (years)</t>
  </si>
  <si>
    <t>Freezers - total ft</t>
  </si>
  <si>
    <t>Freezers - total cost</t>
  </si>
  <si>
    <t>Freezers - expected lifetime (years)</t>
  </si>
  <si>
    <t>Other used equipment - expected lifetime (years)</t>
  </si>
  <si>
    <t>Refrigeration - cost per 8 ft, including moving</t>
  </si>
  <si>
    <t>Freezers - cost per 8 ft, including moving</t>
  </si>
  <si>
    <t>Coffin coolers - cost per unit, including moving</t>
  </si>
  <si>
    <t>Roof repair</t>
  </si>
  <si>
    <t>Parking lot repair</t>
  </si>
  <si>
    <t>Outdoor renovation</t>
  </si>
  <si>
    <t>Security infrastructure expense</t>
  </si>
  <si>
    <t>Merchandising Costs</t>
  </si>
  <si>
    <t>Marketing Costs</t>
  </si>
  <si>
    <t>% of wages for other comp.</t>
  </si>
  <si>
    <t>Total Specialist Hours Worked/Week</t>
  </si>
  <si>
    <t>Total Cust Service Rep Hours Worked/Week</t>
  </si>
  <si>
    <t>Specialist Annual Expense</t>
  </si>
  <si>
    <t>Cust Service Rep Annual Expense</t>
  </si>
  <si>
    <t>Security Contractor Expense</t>
  </si>
  <si>
    <t>NO SOURCE</t>
  </si>
  <si>
    <t>Inventory Expense / COGS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</si>
  <si>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</si>
  <si>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</si>
  <si>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</si>
  <si>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</si>
  <si>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</si>
  <si>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</si>
  <si>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</si>
  <si>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</si>
  <si>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10+</t>
  </si>
  <si>
    <t>Loan exp.</t>
  </si>
  <si>
    <t>[Employee X] Hourly Wage</t>
  </si>
  <si>
    <t>Total [Employee X] Hours Worked/Week</t>
  </si>
  <si>
    <t>[Employee X] - Other Weekly Comp</t>
  </si>
  <si>
    <t>[Employee X] Annual Expense</t>
  </si>
  <si>
    <t>[Employee X] - Weeks of Training/Launch</t>
  </si>
  <si>
    <t>[Employee X] Start-Up Expense</t>
  </si>
  <si>
    <t>Equipment X - cost per unit</t>
  </si>
  <si>
    <t>Equipment X - total units</t>
  </si>
  <si>
    <t>Equipment X - total cost</t>
  </si>
  <si>
    <t>Equipment X - expected lifetime (years)</t>
  </si>
  <si>
    <t>Equipment X - cost per unit, including moving</t>
  </si>
  <si>
    <t>Equipment Y - cost per unit, including moving</t>
  </si>
  <si>
    <t>Equipment Y - total units</t>
  </si>
  <si>
    <t>Equipment Y - total cost</t>
  </si>
  <si>
    <t>Equipment Y - expected lifetime (years)</t>
  </si>
  <si>
    <t>Equipment Z - cost per unit, including moving</t>
  </si>
  <si>
    <t>Equipment Z - total units</t>
  </si>
  <si>
    <t>Equipment Z - total cost</t>
  </si>
  <si>
    <t>Equipment Z - expected lifetime (years)</t>
  </si>
  <si>
    <t>Equipment Y - cost per unit</t>
  </si>
  <si>
    <t>Equipment Z - cost per unit</t>
  </si>
  <si>
    <t>Data Source:</t>
  </si>
  <si>
    <t>Food Town</t>
  </si>
  <si>
    <t>SuperValu</t>
  </si>
  <si>
    <t>No</t>
  </si>
  <si>
    <t>Total Debt Fully Procured</t>
  </si>
  <si>
    <t>Total Equity Fully Procured</t>
  </si>
  <si>
    <t>Item Fully Procured? (Yes/No)</t>
  </si>
  <si>
    <t>Yes</t>
  </si>
  <si>
    <t>Total Grants Fully Procured</t>
  </si>
  <si>
    <t>Total Planned Funding</t>
  </si>
  <si>
    <t>Total Funding Fully Procured</t>
  </si>
  <si>
    <t>Number of sq ft</t>
  </si>
  <si>
    <t>Leasehold Improvement</t>
  </si>
  <si>
    <t>No Source, but Save A Lot estimates 100-350K total Leasehold Improvements</t>
  </si>
  <si>
    <t>Tax Rate</t>
  </si>
  <si>
    <t>Taxes</t>
  </si>
  <si>
    <t>Net Income</t>
  </si>
  <si>
    <t>Summary Dashboard</t>
  </si>
  <si>
    <t>Funding Stack</t>
  </si>
  <si>
    <t>Breakeven in Year…</t>
  </si>
  <si>
    <t>Breakeven?</t>
  </si>
  <si>
    <t>Accumulated Net Income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</si>
  <si>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</si>
  <si>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</si>
  <si>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</si>
  <si>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</si>
  <si>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</si>
  <si>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</si>
  <si>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</si>
  <si>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</si>
  <si>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</si>
  <si>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</si>
  <si>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</si>
  <si>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</si>
  <si>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</si>
  <si>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</si>
  <si>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</si>
  <si>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</si>
  <si>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</si>
  <si>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</si>
  <si>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</si>
  <si>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</si>
  <si>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</si>
  <si>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</si>
  <si>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</si>
  <si>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</si>
  <si>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</si>
  <si>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</si>
  <si>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</si>
  <si>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</si>
  <si>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</si>
  <si>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</si>
  <si>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</si>
  <si>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</si>
  <si>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</si>
  <si>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</si>
  <si>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</si>
  <si>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</si>
  <si>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</si>
  <si>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</si>
  <si>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</si>
  <si>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</si>
  <si>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</si>
  <si>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</si>
  <si>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</si>
  <si>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</si>
  <si>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</si>
  <si>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</si>
  <si>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</si>
  <si>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</si>
  <si>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</si>
  <si>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</si>
  <si>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</si>
  <si>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</si>
  <si>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Percent Change to Avg. Sales</t>
  </si>
  <si>
    <t>Income Statement - Weekly (Yr 1)</t>
  </si>
  <si>
    <t>Total for Year</t>
  </si>
  <si>
    <t>Sales per sq ft</t>
  </si>
  <si>
    <t>Expenses per sq ft</t>
  </si>
  <si>
    <t>Coffeeshopstartup.com</t>
  </si>
  <si>
    <t>Net Income per sq ft</t>
  </si>
  <si>
    <t>Cashflow Analysis</t>
  </si>
  <si>
    <t>+Depreciation</t>
  </si>
  <si>
    <t>+/- change in Working Capital</t>
  </si>
  <si>
    <t>Save A Lot estimates 25-40K for grand opening</t>
  </si>
  <si>
    <t>Save A Lot estimates 25-40K for grand opening; used low end for annual recurring expense</t>
  </si>
  <si>
    <t>Planned Funding</t>
  </si>
  <si>
    <t>Funding vs. Start-Up Expenses</t>
  </si>
  <si>
    <t>Sales Projections</t>
  </si>
  <si>
    <t>Weekly Sales</t>
  </si>
  <si>
    <t>Weekly Expenses</t>
  </si>
  <si>
    <t>Weekly Net Income</t>
  </si>
  <si>
    <t>Year 10</t>
  </si>
  <si>
    <t>&lt;--these are calculated from the annual expenses entered in the "Operating Expense Assumptions" tab, as well as number of months of lease before opening</t>
  </si>
  <si>
    <t>Option 1: Enter an approximate allowance per square foot that will cover start-up costs.</t>
  </si>
  <si>
    <t>Start-up allowance per square foot</t>
  </si>
  <si>
    <t>Total start-up allowance</t>
  </si>
  <si>
    <t>Option 2: Fill out start-up costs line by line.</t>
  </si>
  <si>
    <t>Start-Up Expenses Option:</t>
  </si>
  <si>
    <t>Debt service</t>
  </si>
  <si>
    <t>Total Depreciation Expenses:</t>
  </si>
  <si>
    <t>If Option 2 is used, depreciation is calculated using the straight-line method.</t>
  </si>
  <si>
    <t>Year 1 New Equip. Dep. Exp.</t>
  </si>
  <si>
    <t>Year 1 Used Equip. Dep. Expense</t>
  </si>
  <si>
    <t>Calc'd in "Start-Up Expense Assumptions" tab</t>
  </si>
  <si>
    <t>Calc'd on Financing Assumptions tab]</t>
  </si>
  <si>
    <t>Debt Service (year 1)</t>
  </si>
  <si>
    <t>HOW TO USE THIS SPREADSHEET</t>
  </si>
  <si>
    <t>contain inputs that will change the outputs in the green and blue tabs.</t>
  </si>
  <si>
    <t>GREEN TAB</t>
  </si>
  <si>
    <t>is the summary output of this spreadsheet and should not be changed.</t>
  </si>
  <si>
    <t>BLUE TABS</t>
  </si>
  <si>
    <t>are views of the income statement and mostly consist of calculations.</t>
  </si>
  <si>
    <t>There are a few adjustments that can be made to the yellow cells of these tabs.</t>
  </si>
  <si>
    <t>are inputs that will change everything else in the model.</t>
  </si>
  <si>
    <t>ORANGE TABS</t>
  </si>
  <si>
    <t>Types of tabs</t>
  </si>
  <si>
    <t>Types of cells</t>
  </si>
  <si>
    <t>Yellow cells</t>
  </si>
  <si>
    <t>Grey cells</t>
  </si>
  <si>
    <t>are calculated outputs that should not be changed.</t>
  </si>
  <si>
    <t>Below, please find general instructions for use of this spreadsheet. Individual tabs may have additional instructions to follow.</t>
  </si>
  <si>
    <t>Instructions: Choose Option 1 or Option 2 below to represent start-up expenses. These options are detailed further below.</t>
  </si>
  <si>
    <t>Instructions: Increase the sales in a particular week by adding a positive percentage to the respective yellow cell.</t>
  </si>
  <si>
    <t>Decrease the sales in a particular week by adding a negative percentage to the respective yellow cell.</t>
  </si>
  <si>
    <t>Instructions: Increase the overall sales by adding a positive percentage to cell C5. Decrease by adding a negative percentage to cell C5.</t>
  </si>
  <si>
    <t>This tab shows overall financial viability of Us Market. To change these numbers, edit inputs in the four orange "Assumptions" tabs.</t>
  </si>
  <si>
    <t>Avg. ticket size</t>
  </si>
  <si>
    <t>Sales per year</t>
  </si>
  <si>
    <t>&lt;--enter value here if you choose not to use ticket size / customers per day as drivers above</t>
  </si>
  <si>
    <t>Grocery Revenue Assumptions</t>
  </si>
  <si>
    <t>Grocery sales distribution by category</t>
  </si>
  <si>
    <t>Total Length of Loan</t>
  </si>
  <si>
    <t>Amortization Period (years of loan repayment)</t>
  </si>
  <si>
    <t>The section below, which calculates loan expense, assumes that all loans start in the same period.</t>
  </si>
  <si>
    <t>Income Statement - Weekly (Yr 2+)</t>
  </si>
  <si>
    <t>&lt;--can change on Income Statement (Yr) tab</t>
  </si>
  <si>
    <t>Adjust the yearly inflation/growth rate in cell C6.</t>
  </si>
  <si>
    <r>
      <t xml:space="preserve">This sheet impacts year 2 onward and should be edited to reflect </t>
    </r>
    <r>
      <rPr>
        <b/>
        <i/>
        <sz val="11"/>
        <color theme="1"/>
        <rFont val="Calibri"/>
        <family val="2"/>
        <scheme val="minor"/>
      </rPr>
      <t>seasonality.</t>
    </r>
  </si>
  <si>
    <r>
      <t xml:space="preserve">This sheet impacts </t>
    </r>
    <r>
      <rPr>
        <b/>
        <i/>
        <sz val="11"/>
        <color theme="1"/>
        <rFont val="Calibri"/>
        <family val="2"/>
        <scheme val="minor"/>
      </rPr>
      <t>year 1 ONLY</t>
    </r>
    <r>
      <rPr>
        <i/>
        <sz val="11"/>
        <color theme="1"/>
        <rFont val="Calibri"/>
        <family val="2"/>
        <scheme val="minor"/>
      </rPr>
      <t xml:space="preserve"> and should be used to demonstrate all anticipated deviations from normal sales, due to both ramp-up of customer base and seasonality.</t>
    </r>
  </si>
  <si>
    <t>% Net Margin</t>
  </si>
  <si>
    <t>% Gross Profit Margin</t>
  </si>
  <si>
    <t>Income Statement (Yr)</t>
  </si>
  <si>
    <t>Income Statement (Yr 1)</t>
  </si>
  <si>
    <t>Income Statement (Seasonality)</t>
  </si>
  <si>
    <t>Income Statement descriptions</t>
  </si>
  <si>
    <t>shows yearly projections until yr 10</t>
  </si>
  <si>
    <t>shows Yr 1 projections by week that can be adjusted for customer ramp up, seasonality, etc.</t>
  </si>
  <si>
    <t>shows Yr 2+ projections by week that can be adjusted for seasonality, etc.</t>
  </si>
  <si>
    <t>Debt service coverage ratio</t>
  </si>
  <si>
    <t>% gross profit margin</t>
  </si>
  <si>
    <t>% net margin</t>
  </si>
  <si>
    <t>Metric/Ratio descriptions</t>
  </si>
  <si>
    <t>measures profitability based on COGS which can be compared to industry averages; Gross Profit/Sales</t>
  </si>
  <si>
    <t>measures profitability based on COGS and operating expenses which can be compared to industry averages; Net Income/Sales</t>
  </si>
  <si>
    <t>Other Resources</t>
  </si>
  <si>
    <t>Industry margin averages - https://csimarket.com/Industry/industry_Profitability_Ratios.php?ind=1305</t>
  </si>
  <si>
    <t>Debt service coverage ratio - https://www.investopedia.com/terms/d/dscr.asp</t>
  </si>
  <si>
    <t>measures ability of a firm to cover its debt obligations which shows inability to pay debt the closer it is to 1 and inability to pay debt below 1; (Net income/Debt service)</t>
  </si>
  <si>
    <t>% Operating Margin</t>
  </si>
  <si>
    <t>% operating margin</t>
  </si>
  <si>
    <t>measures profitability based on COGS, operating expenses, and debt which can be compared to industry averages; Operating Income/Sales</t>
  </si>
  <si>
    <t>Repayment of Principal Beginning Year (Loan Term)</t>
  </si>
  <si>
    <t>Interest Payment</t>
  </si>
  <si>
    <t>Annual loan pmt, w/ principal</t>
  </si>
  <si>
    <t>*Breakeven defined as the year in which accumulated net income exceeds</t>
  </si>
  <si>
    <t>Number of sq ft rented to tenants</t>
  </si>
  <si>
    <t>Total rental income per month</t>
  </si>
  <si>
    <t>Monthly rental income per sq ft</t>
  </si>
  <si>
    <t>Annual rental income (from Lease Information tab)</t>
  </si>
  <si>
    <t>&lt;--this includes café sales and grocery sales</t>
  </si>
  <si>
    <t>Revenue per year (Year 1)</t>
  </si>
  <si>
    <t>&lt;--this include café sales, grocery sales, and rental income</t>
  </si>
  <si>
    <t>Important Information by Tab</t>
  </si>
  <si>
    <t>Start-Up Expense Assumptions</t>
  </si>
  <si>
    <t>Salvage value - defined as the amount at which you believe you can sell equipment at the end of its useful life</t>
  </si>
  <si>
    <r>
      <t xml:space="preserve">Regardless of option chosen, please complete the Merchandising Costs section </t>
    </r>
    <r>
      <rPr>
        <b/>
        <i/>
        <sz val="11"/>
        <color theme="1"/>
        <rFont val="Calibri"/>
        <family val="2"/>
        <scheme val="minor"/>
      </rPr>
      <t>directly</t>
    </r>
    <r>
      <rPr>
        <i/>
        <sz val="11"/>
        <color theme="1"/>
        <rFont val="Calibri"/>
        <family val="2"/>
        <scheme val="minor"/>
      </rPr>
      <t xml:space="preserve"> below to ensure inventory stock-up is represented accurately.</t>
    </r>
  </si>
  <si>
    <t>Other new equipment - expected lifetime (years)</t>
  </si>
  <si>
    <t>The annual depreciation expenses below are calculated for each type of equipment.</t>
  </si>
  <si>
    <t>Refrig. Annual Deprec.</t>
  </si>
  <si>
    <t>Freezer Annual Deprec.</t>
  </si>
  <si>
    <t>Coffin Annual Deprec.</t>
  </si>
  <si>
    <t>Equipment X Annual Deprec.</t>
  </si>
  <si>
    <t>Equipment Y Annual Deprec.</t>
  </si>
  <si>
    <t>Equipment Z Annual Deprec.</t>
  </si>
  <si>
    <t>Other New Annual Deprec.</t>
  </si>
  <si>
    <t>Gondola Annual Deprec.</t>
  </si>
  <si>
    <t>Refrigeration Annual Deprec.</t>
  </si>
  <si>
    <t>Other Used Annual Deprec.</t>
  </si>
  <si>
    <t>Gondolas - total salvage value</t>
  </si>
  <si>
    <t>Refrigeration - total salvage value</t>
  </si>
  <si>
    <t>Freezers - total salvage value</t>
  </si>
  <si>
    <t>Coffin coolers - total salvage value</t>
  </si>
  <si>
    <t>Equipment X - total salvage value</t>
  </si>
  <si>
    <t>Equipment Y - total salvage value</t>
  </si>
  <si>
    <t>Equipment Z - total salvage value</t>
  </si>
  <si>
    <t>Other new equipment - total salvage value</t>
  </si>
  <si>
    <t>Expected lifetime - defined as the number of years that you expect to be able to operate your equipment before replacing it</t>
  </si>
  <si>
    <t>Override Renovation / One-Time Building Costs</t>
  </si>
  <si>
    <t>&lt;--enter value here to use as a lump sum for all renovation instead of the line items above</t>
  </si>
  <si>
    <t>Property &amp; Equipment Expenses (Annual)</t>
  </si>
  <si>
    <t>Building maintenance expense</t>
  </si>
  <si>
    <t>Equipment maintenance expense</t>
  </si>
  <si>
    <t>Equipment depreciation expense</t>
  </si>
  <si>
    <t>Security infrastructure installation</t>
  </si>
  <si>
    <t>No Source</t>
  </si>
  <si>
    <t>Property Costs (prior to opening) - for this section, any additional property costs prior to opening will need to be added manually</t>
  </si>
  <si>
    <t>(will not be calc'd from the annual property costs on the Operating Expense Assumptions tab)</t>
  </si>
  <si>
    <t>General Manager Annual Salary</t>
  </si>
  <si>
    <t>General Manager - Other Annual Comp</t>
  </si>
  <si>
    <t>General Manager - Weeks of Training/Launch</t>
  </si>
  <si>
    <t># of General Managers</t>
  </si>
  <si>
    <t>General Manager Start-Up Expense</t>
  </si>
  <si>
    <t>[Salaried Employee] Annual Salary</t>
  </si>
  <si>
    <t>[Salaried Employee] - Other Annual Comp</t>
  </si>
  <si>
    <t>[Salaried Employee] - Weeks of Training/Launch</t>
  </si>
  <si>
    <t># of [Salaried Employee]s</t>
  </si>
  <si>
    <t>[Salaried Employee] Start-Up Expense</t>
  </si>
  <si>
    <t>*Total Depreciation Expenses assumes 2.5% of total start-up expense if Option 1 is used.</t>
  </si>
  <si>
    <t>General Manager Annual Expense</t>
  </si>
  <si>
    <t>[Salaried Employee] Annual Expense</t>
  </si>
  <si>
    <t>Security infrastructure maintenance expense</t>
  </si>
  <si>
    <t>Security Labor Expense</t>
  </si>
  <si>
    <t>Include in Debt Service calc and in Planned Funding calc?</t>
  </si>
  <si>
    <t>Include in Planned Funding calc?</t>
  </si>
  <si>
    <t>"Include in Planned Funding calc?" should be toggled "yes" if you wish to include the funding source in the "Planned Funding" calculation on the Summary Dashboad tab.</t>
  </si>
  <si>
    <t>It should be toggled "no" if you do not wish to include the funding source in this calculation.</t>
  </si>
  <si>
    <t xml:space="preserve"> </t>
  </si>
  <si>
    <t>For Debt funding sources, this toggle will also control whether the funding source will be included in the Debt Service expense calculation.</t>
  </si>
  <si>
    <t>"Item Fully Procured?" is for tracking purposes only, indicating whether or not the funding source has been officially procured</t>
  </si>
  <si>
    <t>Equity payouts</t>
  </si>
  <si>
    <t>Equity Payouts line should be manually entered with the total expense that you expect to incur annually related to equity payouts</t>
  </si>
  <si>
    <t>This expense will automatically flow into the weekly views of the income statement</t>
  </si>
  <si>
    <t>Working Capital</t>
  </si>
  <si>
    <t>Accumulated Loss</t>
  </si>
  <si>
    <t>&lt;-defined as sum of start-up expenses and accumulated loss from any years in which Us Market is not projected to turn a profit</t>
  </si>
  <si>
    <t>Min Funding Required</t>
  </si>
  <si>
    <t>Working Capital Ask</t>
  </si>
  <si>
    <t>Total Ask Amount</t>
  </si>
  <si>
    <t>&lt;-sum of min funding required and working capital requested</t>
  </si>
  <si>
    <t xml:space="preserve">the initial investment + any accumulated loss. </t>
  </si>
  <si>
    <t>COGS calculation is based off of total café (or other counseling service) and revenue sales; rental income is NOT included</t>
  </si>
  <si>
    <t>General Merchandise/Health and Beauty Care</t>
  </si>
  <si>
    <t>Rule of thumb: $50-100 per square foot</t>
  </si>
  <si>
    <t>Outstanding account payable</t>
  </si>
  <si>
    <t>Bank Loan 1</t>
  </si>
  <si>
    <t>Grant 1</t>
  </si>
  <si>
    <t>Grant 2</t>
  </si>
  <si>
    <t>[estimate if not known at this time]</t>
  </si>
  <si>
    <r>
      <t>Café (</t>
    </r>
    <r>
      <rPr>
        <b/>
        <sz val="11"/>
        <color rgb="FFFF0000"/>
        <rFont val="Calibri"/>
        <family val="2"/>
        <scheme val="minor"/>
      </rPr>
      <t>if you will have one</t>
    </r>
    <r>
      <rPr>
        <b/>
        <sz val="11"/>
        <color theme="1"/>
        <rFont val="Calibri"/>
        <family val="2"/>
        <scheme val="minor"/>
      </rPr>
      <t>) Revenue Assumptions</t>
    </r>
  </si>
  <si>
    <t>Option 1</t>
  </si>
  <si>
    <t>Wholesaler / Distributor</t>
  </si>
  <si>
    <t>&lt;-amount of working capital that market plans to request from lenders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</si>
</sst>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8"/>
      <name val="Arial"/>
      <family val="2"/>
    </font>
    <font>
      <b/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Font="1"/>
    <xf numFmtId="0" fontId="3" fillId="2" borderId="0" xfId="0" applyFont="1" applyFill="1" applyAlignment="1"/>
    <xf numFmtId="9" fontId="3" fillId="2" borderId="0" xfId="0" applyNumberFormat="1" applyFont="1" applyFill="1" applyAlignment="1"/>
    <xf numFmtId="44" fontId="3" fillId="2" borderId="0" xfId="1" applyFont="1" applyFill="1" applyAlignment="1"/>
    <xf numFmtId="44" fontId="0" fillId="3" borderId="0" xfId="0" applyNumberFormat="1" applyFill="1"/>
    <xf numFmtId="44" fontId="0" fillId="3" borderId="0" xfId="1" applyFont="1" applyFill="1"/>
    <xf numFmtId="0" fontId="4" fillId="0" borderId="0" xfId="0" applyFont="1"/>
    <xf numFmtId="44" fontId="4" fillId="3" borderId="0" xfId="0" applyNumberFormat="1" applyFont="1" applyFill="1"/>
    <xf numFmtId="44" fontId="0" fillId="0" borderId="0" xfId="0" applyNumberFormat="1"/>
    <xf numFmtId="0" fontId="3" fillId="2" borderId="0" xfId="1" applyNumberFormat="1" applyFont="1" applyFill="1" applyAlignment="1"/>
    <xf numFmtId="0" fontId="5" fillId="5" borderId="0" xfId="0" applyFont="1" applyFill="1"/>
    <xf numFmtId="44" fontId="5" fillId="5" borderId="0" xfId="0" applyNumberFormat="1" applyFont="1" applyFill="1"/>
    <xf numFmtId="44" fontId="7" fillId="6" borderId="0" xfId="1" applyFont="1" applyFill="1"/>
    <xf numFmtId="44" fontId="5" fillId="5" borderId="0" xfId="1" applyFont="1" applyFill="1"/>
    <xf numFmtId="0" fontId="0" fillId="0" borderId="2" xfId="0" applyBorder="1"/>
    <xf numFmtId="0" fontId="4" fillId="0" borderId="3" xfId="0" applyFont="1" applyBorder="1"/>
    <xf numFmtId="9" fontId="4" fillId="3" borderId="3" xfId="0" applyNumberFormat="1" applyFont="1" applyFill="1" applyBorder="1"/>
    <xf numFmtId="0" fontId="0" fillId="0" borderId="3" xfId="0" applyBorder="1"/>
    <xf numFmtId="44" fontId="4" fillId="3" borderId="3" xfId="0" applyNumberFormat="1" applyFont="1" applyFill="1" applyBorder="1"/>
    <xf numFmtId="0" fontId="6" fillId="0" borderId="0" xfId="3" applyFont="1" applyFill="1" applyBorder="1" applyAlignment="1" applyProtection="1"/>
    <xf numFmtId="0" fontId="9" fillId="0" borderId="0" xfId="0" applyFont="1"/>
    <xf numFmtId="44" fontId="0" fillId="0" borderId="0" xfId="1" applyFont="1"/>
    <xf numFmtId="9" fontId="3" fillId="2" borderId="0" xfId="2" applyFont="1" applyFill="1" applyAlignment="1"/>
    <xf numFmtId="0" fontId="0" fillId="0" borderId="0" xfId="0" applyBorder="1"/>
    <xf numFmtId="0" fontId="4" fillId="7" borderId="0" xfId="0" applyFont="1" applyFill="1"/>
    <xf numFmtId="44" fontId="4" fillId="7" borderId="0" xfId="1" applyFont="1" applyFill="1"/>
    <xf numFmtId="9" fontId="4" fillId="7" borderId="0" xfId="0" applyNumberFormat="1" applyFont="1" applyFill="1"/>
    <xf numFmtId="0" fontId="0" fillId="0" borderId="1" xfId="0" applyBorder="1"/>
    <xf numFmtId="44" fontId="0" fillId="0" borderId="1" xfId="0" applyNumberFormat="1" applyBorder="1"/>
    <xf numFmtId="44" fontId="0" fillId="0" borderId="1" xfId="1" applyFont="1" applyBorder="1"/>
    <xf numFmtId="44" fontId="0" fillId="0" borderId="2" xfId="0" applyNumberFormat="1" applyBorder="1"/>
    <xf numFmtId="44" fontId="0" fillId="0" borderId="2" xfId="1" applyFont="1" applyBorder="1"/>
    <xf numFmtId="0" fontId="0" fillId="3" borderId="0" xfId="1" applyNumberFormat="1" applyFont="1" applyFill="1"/>
    <xf numFmtId="0" fontId="10" fillId="0" borderId="0" xfId="0" applyFont="1"/>
    <xf numFmtId="9" fontId="0" fillId="3" borderId="0" xfId="2" applyFont="1" applyFill="1"/>
    <xf numFmtId="0" fontId="11" fillId="3" borderId="0" xfId="0" applyFont="1" applyFill="1"/>
    <xf numFmtId="44" fontId="6" fillId="3" borderId="0" xfId="1" applyFont="1" applyFill="1" applyAlignment="1"/>
    <xf numFmtId="8" fontId="4" fillId="7" borderId="0" xfId="1" applyNumberFormat="1" applyFont="1" applyFill="1"/>
    <xf numFmtId="0" fontId="6" fillId="3" borderId="0" xfId="1" applyNumberFormat="1" applyFont="1" applyFill="1" applyAlignment="1"/>
    <xf numFmtId="9" fontId="3" fillId="2" borderId="0" xfId="0" applyNumberFormat="1" applyFont="1" applyFill="1" applyBorder="1" applyAlignment="1"/>
    <xf numFmtId="44" fontId="0" fillId="3" borderId="0" xfId="0" applyNumberFormat="1" applyFill="1" applyBorder="1"/>
    <xf numFmtId="0" fontId="6" fillId="0" borderId="0" xfId="0" applyFont="1"/>
    <xf numFmtId="3" fontId="3" fillId="2" borderId="0" xfId="1" applyNumberFormat="1" applyFont="1" applyFill="1" applyAlignment="1"/>
    <xf numFmtId="44" fontId="0" fillId="0" borderId="0" xfId="0" applyNumberFormat="1" applyBorder="1"/>
    <xf numFmtId="0" fontId="0" fillId="0" borderId="2" xfId="0" applyFill="1" applyBorder="1"/>
    <xf numFmtId="9" fontId="4" fillId="3" borderId="0" xfId="0" applyNumberFormat="1" applyFont="1" applyFill="1"/>
    <xf numFmtId="9" fontId="0" fillId="3" borderId="2" xfId="2" applyFont="1" applyFill="1" applyBorder="1"/>
    <xf numFmtId="0" fontId="5" fillId="0" borderId="0" xfId="0" applyFont="1"/>
    <xf numFmtId="44" fontId="4" fillId="0" borderId="0" xfId="0" applyNumberFormat="1" applyFont="1"/>
    <xf numFmtId="44" fontId="4" fillId="0" borderId="2" xfId="0" applyNumberFormat="1" applyFont="1" applyBorder="1"/>
    <xf numFmtId="44" fontId="4" fillId="0" borderId="1" xfId="0" applyNumberFormat="1" applyFont="1" applyBorder="1"/>
    <xf numFmtId="44" fontId="4" fillId="0" borderId="0" xfId="0" applyNumberFormat="1" applyFont="1" applyBorder="1"/>
    <xf numFmtId="0" fontId="0" fillId="0" borderId="0" xfId="0" quotePrefix="1"/>
    <xf numFmtId="44" fontId="0" fillId="0" borderId="3" xfId="0" applyNumberFormat="1" applyBorder="1"/>
    <xf numFmtId="0" fontId="0" fillId="0" borderId="2" xfId="0" applyFont="1" applyBorder="1"/>
    <xf numFmtId="44" fontId="0" fillId="3" borderId="2" xfId="0" applyNumberFormat="1" applyFill="1" applyBorder="1"/>
    <xf numFmtId="0" fontId="0" fillId="7" borderId="0" xfId="0" applyFill="1"/>
    <xf numFmtId="0" fontId="0" fillId="8" borderId="0" xfId="0" applyFill="1"/>
    <xf numFmtId="44" fontId="0" fillId="0" borderId="0" xfId="1" applyFont="1" applyBorder="1"/>
    <xf numFmtId="0" fontId="0" fillId="0" borderId="4" xfId="0" applyBorder="1"/>
    <xf numFmtId="44" fontId="0" fillId="0" borderId="4" xfId="1" applyFont="1" applyBorder="1"/>
    <xf numFmtId="44" fontId="0" fillId="0" borderId="4" xfId="0" applyNumberFormat="1" applyBorder="1"/>
    <xf numFmtId="44" fontId="4" fillId="0" borderId="4" xfId="1" applyFont="1" applyBorder="1"/>
    <xf numFmtId="44" fontId="4" fillId="0" borderId="0" xfId="1" applyFont="1" applyBorder="1"/>
    <xf numFmtId="44" fontId="4" fillId="0" borderId="3" xfId="0" applyNumberFormat="1" applyFont="1" applyBorder="1"/>
    <xf numFmtId="44" fontId="4" fillId="3" borderId="0" xfId="1" applyFont="1" applyFill="1"/>
    <xf numFmtId="0" fontId="12" fillId="2" borderId="0" xfId="0" applyFont="1" applyFill="1" applyAlignment="1"/>
    <xf numFmtId="0" fontId="0" fillId="6" borderId="0" xfId="0" applyFill="1"/>
    <xf numFmtId="0" fontId="0" fillId="3" borderId="0" xfId="0" applyFill="1"/>
    <xf numFmtId="0" fontId="0" fillId="9" borderId="0" xfId="0" applyFill="1" applyBorder="1"/>
    <xf numFmtId="0" fontId="0" fillId="0" borderId="0" xfId="0" applyFont="1" applyBorder="1"/>
    <xf numFmtId="9" fontId="6" fillId="3" borderId="0" xfId="0" applyNumberFormat="1" applyFont="1" applyFill="1" applyAlignment="1"/>
    <xf numFmtId="0" fontId="0" fillId="0" borderId="0" xfId="0" applyFill="1" applyBorder="1"/>
    <xf numFmtId="9" fontId="0" fillId="0" borderId="0" xfId="2" applyFont="1" applyBorder="1"/>
    <xf numFmtId="10" fontId="0" fillId="0" borderId="0" xfId="2" applyNumberFormat="1" applyFont="1"/>
    <xf numFmtId="43" fontId="0" fillId="0" borderId="0" xfId="4" applyFont="1" applyBorder="1"/>
    <xf numFmtId="0" fontId="0" fillId="0" borderId="0" xfId="0" applyFill="1"/>
    <xf numFmtId="0" fontId="13" fillId="0" borderId="0" xfId="0" applyFont="1"/>
    <xf numFmtId="44" fontId="4" fillId="7" borderId="0" xfId="0" applyNumberFormat="1" applyFont="1" applyFill="1"/>
    <xf numFmtId="44" fontId="6" fillId="3" borderId="0" xfId="1" applyNumberFormat="1" applyFont="1" applyFill="1" applyAlignment="1"/>
    <xf numFmtId="44" fontId="3" fillId="2" borderId="0" xfId="1" applyFont="1" applyFill="1" applyBorder="1" applyAlignment="1"/>
    <xf numFmtId="44" fontId="0" fillId="3" borderId="0" xfId="0" applyNumberFormat="1" applyFont="1" applyFill="1" applyBorder="1"/>
    <xf numFmtId="0" fontId="14" fillId="0" borderId="0" xfId="0" applyFont="1"/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44" fontId="0" fillId="3" borderId="0" xfId="1" applyFont="1" applyFill="1" applyAlignment="1">
      <alignment wrapText="1"/>
    </xf>
    <xf numFmtId="0" fontId="0" fillId="0" borderId="0" xfId="0" applyFont="1" applyAlignment="1">
      <alignment horizontal="left" indent="3"/>
    </xf>
    <xf numFmtId="44" fontId="6" fillId="3" borderId="0" xfId="0" applyNumberFormat="1" applyFont="1" applyFill="1"/>
    <xf numFmtId="0" fontId="5" fillId="0" borderId="5" xfId="0" applyFont="1" applyBorder="1"/>
    <xf numFmtId="44" fontId="5" fillId="3" borderId="6" xfId="0" applyNumberFormat="1" applyFont="1" applyFill="1" applyBorder="1"/>
    <xf numFmtId="0" fontId="5" fillId="4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Normal" xfId="0" builtinId="0"/>
    <cellStyle name="Normal_EXISTPKG" xfId="3" xr:uid="{C3331461-67C7-44F7-98E6-338231B4C00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D6CD3-16DF-44E1-BE96-0BC09F6D11DA}">
  <sheetPr>
    <tabColor theme="1"/>
  </sheetPr>
  <dimension ref="B2:C57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2.5703125" customWidth="1"/>
    <col min="2" max="2" width="30.85546875" customWidth="1"/>
  </cols>
  <sheetData>
    <row r="2" spans="2:3" x14ac:dyDescent="0.25">
      <c r="B2" s="1" t="s">
        <v>323</v>
      </c>
    </row>
    <row r="3" spans="2:3" x14ac:dyDescent="0.25">
      <c r="B3" s="1"/>
    </row>
    <row r="4" spans="2:3" x14ac:dyDescent="0.25">
      <c r="B4" s="8" t="s">
        <v>337</v>
      </c>
    </row>
    <row r="5" spans="2:3" x14ac:dyDescent="0.25">
      <c r="B5" s="1"/>
    </row>
    <row r="6" spans="2:3" ht="15.75" x14ac:dyDescent="0.25">
      <c r="B6" s="79" t="s">
        <v>332</v>
      </c>
    </row>
    <row r="7" spans="2:3" x14ac:dyDescent="0.25">
      <c r="B7" s="8"/>
    </row>
    <row r="8" spans="2:3" s="25" customFormat="1" x14ac:dyDescent="0.25">
      <c r="B8" s="71" t="s">
        <v>331</v>
      </c>
      <c r="C8" s="25" t="s">
        <v>324</v>
      </c>
    </row>
    <row r="10" spans="2:3" x14ac:dyDescent="0.25">
      <c r="B10" s="59" t="s">
        <v>325</v>
      </c>
      <c r="C10" t="s">
        <v>326</v>
      </c>
    </row>
    <row r="12" spans="2:3" x14ac:dyDescent="0.25">
      <c r="B12" s="69" t="s">
        <v>327</v>
      </c>
      <c r="C12" t="s">
        <v>328</v>
      </c>
    </row>
    <row r="13" spans="2:3" x14ac:dyDescent="0.25">
      <c r="C13" t="s">
        <v>329</v>
      </c>
    </row>
    <row r="15" spans="2:3" ht="15.75" x14ac:dyDescent="0.25">
      <c r="B15" s="79" t="s">
        <v>333</v>
      </c>
    </row>
    <row r="16" spans="2:3" x14ac:dyDescent="0.25">
      <c r="B16" s="8"/>
    </row>
    <row r="17" spans="2:3" x14ac:dyDescent="0.25">
      <c r="B17" s="68" t="s">
        <v>334</v>
      </c>
      <c r="C17" t="s">
        <v>330</v>
      </c>
    </row>
    <row r="19" spans="2:3" x14ac:dyDescent="0.25">
      <c r="B19" s="70" t="s">
        <v>335</v>
      </c>
      <c r="C19" t="s">
        <v>336</v>
      </c>
    </row>
    <row r="20" spans="2:3" x14ac:dyDescent="0.25">
      <c r="B20" s="78"/>
    </row>
    <row r="21" spans="2:3" ht="15.75" x14ac:dyDescent="0.25">
      <c r="B21" s="79" t="s">
        <v>389</v>
      </c>
    </row>
    <row r="22" spans="2:3" x14ac:dyDescent="0.25">
      <c r="B22" s="84" t="s">
        <v>0</v>
      </c>
    </row>
    <row r="23" spans="2:3" x14ac:dyDescent="0.25">
      <c r="B23" s="85" t="s">
        <v>457</v>
      </c>
    </row>
    <row r="25" spans="2:3" x14ac:dyDescent="0.25">
      <c r="B25" s="84" t="s">
        <v>390</v>
      </c>
    </row>
    <row r="26" spans="2:3" x14ac:dyDescent="0.25">
      <c r="B26" s="86" t="s">
        <v>391</v>
      </c>
    </row>
    <row r="27" spans="2:3" x14ac:dyDescent="0.25">
      <c r="B27" s="86" t="s">
        <v>413</v>
      </c>
    </row>
    <row r="28" spans="2:3" x14ac:dyDescent="0.25">
      <c r="B28" s="86" t="s">
        <v>422</v>
      </c>
    </row>
    <row r="29" spans="2:3" x14ac:dyDescent="0.25">
      <c r="B29" s="87" t="s">
        <v>423</v>
      </c>
    </row>
    <row r="30" spans="2:3" x14ac:dyDescent="0.25">
      <c r="B30" s="84"/>
    </row>
    <row r="31" spans="2:3" x14ac:dyDescent="0.25">
      <c r="B31" s="84" t="s">
        <v>92</v>
      </c>
    </row>
    <row r="32" spans="2:3" x14ac:dyDescent="0.25">
      <c r="B32" s="86" t="s">
        <v>445</v>
      </c>
    </row>
    <row r="33" spans="2:3" x14ac:dyDescent="0.25">
      <c r="B33" s="86" t="s">
        <v>441</v>
      </c>
    </row>
    <row r="34" spans="2:3" x14ac:dyDescent="0.25">
      <c r="B34" s="87" t="s">
        <v>442</v>
      </c>
    </row>
    <row r="35" spans="2:3" x14ac:dyDescent="0.25">
      <c r="B35" s="87" t="s">
        <v>444</v>
      </c>
    </row>
    <row r="36" spans="2:3" x14ac:dyDescent="0.25">
      <c r="B36" s="87"/>
    </row>
    <row r="37" spans="2:3" x14ac:dyDescent="0.25">
      <c r="B37" s="84" t="s">
        <v>358</v>
      </c>
    </row>
    <row r="38" spans="2:3" x14ac:dyDescent="0.25">
      <c r="B38" s="86" t="s">
        <v>447</v>
      </c>
    </row>
    <row r="39" spans="2:3" x14ac:dyDescent="0.25">
      <c r="B39" s="92" t="s">
        <v>448</v>
      </c>
    </row>
    <row r="40" spans="2:3" x14ac:dyDescent="0.25">
      <c r="B40" t="s">
        <v>443</v>
      </c>
    </row>
    <row r="41" spans="2:3" ht="15.75" x14ac:dyDescent="0.25">
      <c r="B41" s="79" t="s">
        <v>361</v>
      </c>
    </row>
    <row r="43" spans="2:3" x14ac:dyDescent="0.25">
      <c r="B43" t="s">
        <v>358</v>
      </c>
      <c r="C43" t="s">
        <v>362</v>
      </c>
    </row>
    <row r="44" spans="2:3" x14ac:dyDescent="0.25">
      <c r="B44" t="s">
        <v>359</v>
      </c>
      <c r="C44" t="s">
        <v>363</v>
      </c>
    </row>
    <row r="45" spans="2:3" x14ac:dyDescent="0.25">
      <c r="B45" t="s">
        <v>360</v>
      </c>
      <c r="C45" t="s">
        <v>364</v>
      </c>
    </row>
    <row r="48" spans="2:3" ht="15.75" x14ac:dyDescent="0.25">
      <c r="B48" s="79" t="s">
        <v>368</v>
      </c>
    </row>
    <row r="50" spans="2:3" x14ac:dyDescent="0.25">
      <c r="B50" t="s">
        <v>366</v>
      </c>
      <c r="C50" t="s">
        <v>369</v>
      </c>
    </row>
    <row r="51" spans="2:3" x14ac:dyDescent="0.25">
      <c r="B51" t="s">
        <v>376</v>
      </c>
      <c r="C51" t="s">
        <v>370</v>
      </c>
    </row>
    <row r="52" spans="2:3" x14ac:dyDescent="0.25">
      <c r="B52" t="s">
        <v>367</v>
      </c>
      <c r="C52" t="s">
        <v>377</v>
      </c>
    </row>
    <row r="53" spans="2:3" x14ac:dyDescent="0.25">
      <c r="B53" t="s">
        <v>365</v>
      </c>
      <c r="C53" t="s">
        <v>374</v>
      </c>
    </row>
    <row r="55" spans="2:3" x14ac:dyDescent="0.25">
      <c r="B55" s="8" t="s">
        <v>371</v>
      </c>
    </row>
    <row r="56" spans="2:3" x14ac:dyDescent="0.25">
      <c r="B56" t="s">
        <v>372</v>
      </c>
    </row>
    <row r="57" spans="2:3" x14ac:dyDescent="0.25">
      <c r="B57" t="s">
        <v>373</v>
      </c>
    </row>
  </sheetData>
  <pageMargins left="0.7" right="0.7" top="0.75" bottom="0.75" header="0.3" footer="0.3"/>
  <pageSetup orientation="portrait" r:id="rId1"/>
  <headerFooter>
    <oddFooter>&amp;R&amp;8Created by: Fair Food Network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1126-8DC9-4F4D-B196-F48D68BB4445}">
  <sheetPr>
    <tabColor rgb="FF00B0F0"/>
  </sheetPr>
  <dimension ref="B1:BC31"/>
  <sheetViews>
    <sheetView workbookViewId="0"/>
  </sheetViews>
  <sheetFormatPr defaultColWidth="8.85546875" defaultRowHeight="15" x14ac:dyDescent="0.25"/>
  <cols>
    <col min="1" max="1" width="2.42578125" customWidth="1"/>
    <col min="2" max="2" width="29" bestFit="1" customWidth="1"/>
    <col min="3" max="55" width="15.42578125" customWidth="1"/>
  </cols>
  <sheetData>
    <row r="1" spans="2:55" x14ac:dyDescent="0.25">
      <c r="B1" s="1" t="s">
        <v>351</v>
      </c>
      <c r="D1" s="8" t="s">
        <v>125</v>
      </c>
      <c r="E1" s="73">
        <f>'Income Statement (Yr)'!C6</f>
        <v>0.02</v>
      </c>
      <c r="F1" s="8" t="s">
        <v>352</v>
      </c>
    </row>
    <row r="2" spans="2:55" x14ac:dyDescent="0.25">
      <c r="B2" s="8" t="s">
        <v>339</v>
      </c>
    </row>
    <row r="3" spans="2:55" x14ac:dyDescent="0.25">
      <c r="B3" s="8" t="s">
        <v>340</v>
      </c>
    </row>
    <row r="4" spans="2:55" x14ac:dyDescent="0.25">
      <c r="B4" s="8" t="s">
        <v>354</v>
      </c>
    </row>
    <row r="5" spans="2:55" x14ac:dyDescent="0.25">
      <c r="B5" s="8"/>
    </row>
    <row r="6" spans="2:55" x14ac:dyDescent="0.25">
      <c r="B6" s="1"/>
      <c r="C6" s="37">
        <v>2</v>
      </c>
      <c r="D6" s="37">
        <v>2</v>
      </c>
      <c r="E6" s="37">
        <v>2</v>
      </c>
      <c r="F6" s="37">
        <v>2</v>
      </c>
      <c r="G6" s="37">
        <v>2</v>
      </c>
      <c r="H6" s="37">
        <v>2</v>
      </c>
      <c r="I6" s="37">
        <v>2</v>
      </c>
      <c r="J6" s="37">
        <v>2</v>
      </c>
      <c r="K6" s="37">
        <v>2</v>
      </c>
      <c r="L6" s="37">
        <v>2</v>
      </c>
      <c r="M6" s="37">
        <v>2</v>
      </c>
      <c r="N6" s="37">
        <v>2</v>
      </c>
      <c r="O6" s="37">
        <v>2</v>
      </c>
      <c r="P6" s="37">
        <v>2</v>
      </c>
      <c r="Q6" s="37">
        <v>2</v>
      </c>
      <c r="R6" s="37">
        <v>2</v>
      </c>
      <c r="S6" s="37">
        <v>2</v>
      </c>
      <c r="T6" s="37">
        <v>2</v>
      </c>
      <c r="U6" s="37">
        <v>2</v>
      </c>
      <c r="V6" s="37">
        <v>2</v>
      </c>
      <c r="W6" s="37">
        <v>2</v>
      </c>
      <c r="X6" s="37">
        <v>2</v>
      </c>
      <c r="Y6" s="37">
        <v>2</v>
      </c>
      <c r="Z6" s="37">
        <v>2</v>
      </c>
      <c r="AA6" s="37">
        <v>2</v>
      </c>
      <c r="AB6" s="37">
        <v>2</v>
      </c>
      <c r="AC6" s="37">
        <v>2</v>
      </c>
      <c r="AD6" s="37">
        <v>2</v>
      </c>
      <c r="AE6" s="37">
        <v>2</v>
      </c>
      <c r="AF6" s="37">
        <v>2</v>
      </c>
      <c r="AG6" s="37">
        <v>2</v>
      </c>
      <c r="AH6" s="37">
        <v>2</v>
      </c>
      <c r="AI6" s="37">
        <v>2</v>
      </c>
      <c r="AJ6" s="37">
        <v>2</v>
      </c>
      <c r="AK6" s="37">
        <v>2</v>
      </c>
      <c r="AL6" s="37">
        <v>2</v>
      </c>
      <c r="AM6" s="37">
        <v>2</v>
      </c>
      <c r="AN6" s="37">
        <v>2</v>
      </c>
      <c r="AO6" s="37">
        <v>2</v>
      </c>
      <c r="AP6" s="37">
        <v>2</v>
      </c>
      <c r="AQ6" s="37">
        <v>2</v>
      </c>
      <c r="AR6" s="37">
        <v>2</v>
      </c>
      <c r="AS6" s="37">
        <v>2</v>
      </c>
      <c r="AT6" s="37">
        <v>2</v>
      </c>
      <c r="AU6" s="37">
        <v>2</v>
      </c>
      <c r="AV6" s="37">
        <v>2</v>
      </c>
      <c r="AW6" s="37">
        <v>2</v>
      </c>
      <c r="AX6" s="37">
        <v>2</v>
      </c>
      <c r="AY6" s="37">
        <v>2</v>
      </c>
      <c r="AZ6" s="37">
        <v>2</v>
      </c>
      <c r="BA6" s="37">
        <v>2</v>
      </c>
      <c r="BB6" s="37">
        <v>2</v>
      </c>
    </row>
    <row r="7" spans="2:55" x14ac:dyDescent="0.25">
      <c r="B7" s="1" t="s">
        <v>290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</row>
    <row r="8" spans="2:55" x14ac:dyDescent="0.25">
      <c r="C8" s="1" t="s">
        <v>238</v>
      </c>
      <c r="D8" s="1" t="s">
        <v>239</v>
      </c>
      <c r="E8" s="1" t="s">
        <v>240</v>
      </c>
      <c r="F8" s="1" t="s">
        <v>241</v>
      </c>
      <c r="G8" s="1" t="s">
        <v>242</v>
      </c>
      <c r="H8" s="1" t="s">
        <v>243</v>
      </c>
      <c r="I8" s="1" t="s">
        <v>244</v>
      </c>
      <c r="J8" s="1" t="s">
        <v>245</v>
      </c>
      <c r="K8" s="1" t="s">
        <v>246</v>
      </c>
      <c r="L8" s="1" t="s">
        <v>247</v>
      </c>
      <c r="M8" s="1" t="s">
        <v>248</v>
      </c>
      <c r="N8" s="1" t="s">
        <v>249</v>
      </c>
      <c r="O8" s="1" t="s">
        <v>250</v>
      </c>
      <c r="P8" s="1" t="s">
        <v>251</v>
      </c>
      <c r="Q8" s="1" t="s">
        <v>252</v>
      </c>
      <c r="R8" s="1" t="s">
        <v>253</v>
      </c>
      <c r="S8" s="1" t="s">
        <v>254</v>
      </c>
      <c r="T8" s="1" t="s">
        <v>255</v>
      </c>
      <c r="U8" s="1" t="s">
        <v>256</v>
      </c>
      <c r="V8" s="1" t="s">
        <v>257</v>
      </c>
      <c r="W8" s="1" t="s">
        <v>258</v>
      </c>
      <c r="X8" s="1" t="s">
        <v>259</v>
      </c>
      <c r="Y8" s="1" t="s">
        <v>260</v>
      </c>
      <c r="Z8" s="1" t="s">
        <v>261</v>
      </c>
      <c r="AA8" s="1" t="s">
        <v>262</v>
      </c>
      <c r="AB8" s="1" t="s">
        <v>263</v>
      </c>
      <c r="AC8" s="1" t="s">
        <v>264</v>
      </c>
      <c r="AD8" s="1" t="s">
        <v>265</v>
      </c>
      <c r="AE8" s="1" t="s">
        <v>266</v>
      </c>
      <c r="AF8" s="1" t="s">
        <v>267</v>
      </c>
      <c r="AG8" s="1" t="s">
        <v>268</v>
      </c>
      <c r="AH8" s="1" t="s">
        <v>269</v>
      </c>
      <c r="AI8" s="1" t="s">
        <v>270</v>
      </c>
      <c r="AJ8" s="1" t="s">
        <v>271</v>
      </c>
      <c r="AK8" s="1" t="s">
        <v>272</v>
      </c>
      <c r="AL8" s="1" t="s">
        <v>273</v>
      </c>
      <c r="AM8" s="1" t="s">
        <v>274</v>
      </c>
      <c r="AN8" s="1" t="s">
        <v>275</v>
      </c>
      <c r="AO8" s="1" t="s">
        <v>276</v>
      </c>
      <c r="AP8" s="1" t="s">
        <v>277</v>
      </c>
      <c r="AQ8" s="1" t="s">
        <v>278</v>
      </c>
      <c r="AR8" s="1" t="s">
        <v>279</v>
      </c>
      <c r="AS8" s="1" t="s">
        <v>280</v>
      </c>
      <c r="AT8" s="1" t="s">
        <v>281</v>
      </c>
      <c r="AU8" s="1" t="s">
        <v>282</v>
      </c>
      <c r="AV8" s="1" t="s">
        <v>283</v>
      </c>
      <c r="AW8" s="1" t="s">
        <v>284</v>
      </c>
      <c r="AX8" s="1" t="s">
        <v>285</v>
      </c>
      <c r="AY8" s="1" t="s">
        <v>286</v>
      </c>
      <c r="AZ8" s="1" t="s">
        <v>287</v>
      </c>
      <c r="BA8" s="1" t="s">
        <v>288</v>
      </c>
      <c r="BB8" s="1" t="s">
        <v>289</v>
      </c>
      <c r="BC8" s="49" t="s">
        <v>292</v>
      </c>
    </row>
    <row r="9" spans="2:55" x14ac:dyDescent="0.25">
      <c r="B9" s="2" t="s">
        <v>112</v>
      </c>
      <c r="C9" s="10">
        <f>'Revenue Assumptions'!$C$22/52*(1+C7)*(1+$E$1)</f>
        <v>28560</v>
      </c>
      <c r="D9" s="10">
        <f>'Revenue Assumptions'!$C$22/52*(1+D7)*(1+$E$1)</f>
        <v>28560</v>
      </c>
      <c r="E9" s="10">
        <f>'Revenue Assumptions'!$C$22/52*(1+E7)*(1+$E$1)</f>
        <v>28560</v>
      </c>
      <c r="F9" s="10">
        <f>'Revenue Assumptions'!$C$22/52*(1+F7)*(1+$E$1)</f>
        <v>28560</v>
      </c>
      <c r="G9" s="10">
        <f>'Revenue Assumptions'!$C$22/52*(1+G7)*(1+$E$1)</f>
        <v>28560</v>
      </c>
      <c r="H9" s="10">
        <f>'Revenue Assumptions'!$C$22/52*(1+H7)*(1+$E$1)</f>
        <v>28560</v>
      </c>
      <c r="I9" s="10">
        <f>'Revenue Assumptions'!$C$22/52*(1+I7)*(1+$E$1)</f>
        <v>28560</v>
      </c>
      <c r="J9" s="10">
        <f>'Revenue Assumptions'!$C$22/52*(1+J7)*(1+$E$1)</f>
        <v>28560</v>
      </c>
      <c r="K9" s="10">
        <f>'Revenue Assumptions'!$C$22/52*(1+K7)*(1+$E$1)</f>
        <v>28560</v>
      </c>
      <c r="L9" s="10">
        <f>'Revenue Assumptions'!$C$22/52*(1+L7)*(1+$E$1)</f>
        <v>28560</v>
      </c>
      <c r="M9" s="10">
        <f>'Revenue Assumptions'!$C$22/52*(1+M7)*(1+$E$1)</f>
        <v>28560</v>
      </c>
      <c r="N9" s="10">
        <f>'Revenue Assumptions'!$C$22/52*(1+N7)*(1+$E$1)</f>
        <v>28560</v>
      </c>
      <c r="O9" s="10">
        <f>'Revenue Assumptions'!$C$22/52*(1+O7)*(1+$E$1)</f>
        <v>28560</v>
      </c>
      <c r="P9" s="10">
        <f>'Revenue Assumptions'!$C$22/52*(1+P7)*(1+$E$1)</f>
        <v>28560</v>
      </c>
      <c r="Q9" s="10">
        <f>'Revenue Assumptions'!$C$22/52*(1+Q7)*(1+$E$1)</f>
        <v>28560</v>
      </c>
      <c r="R9" s="10">
        <f>'Revenue Assumptions'!$C$22/52*(1+R7)*(1+$E$1)</f>
        <v>28560</v>
      </c>
      <c r="S9" s="10">
        <f>'Revenue Assumptions'!$C$22/52*(1+S7)*(1+$E$1)</f>
        <v>28560</v>
      </c>
      <c r="T9" s="10">
        <f>'Revenue Assumptions'!$C$22/52*(1+T7)*(1+$E$1)</f>
        <v>28560</v>
      </c>
      <c r="U9" s="10">
        <f>'Revenue Assumptions'!$C$22/52*(1+U7)*(1+$E$1)</f>
        <v>28560</v>
      </c>
      <c r="V9" s="10">
        <f>'Revenue Assumptions'!$C$22/52*(1+V7)*(1+$E$1)</f>
        <v>28560</v>
      </c>
      <c r="W9" s="10">
        <f>'Revenue Assumptions'!$C$22/52*(1+W7)*(1+$E$1)</f>
        <v>28560</v>
      </c>
      <c r="X9" s="10">
        <f>'Revenue Assumptions'!$C$22/52*(1+X7)*(1+$E$1)</f>
        <v>28560</v>
      </c>
      <c r="Y9" s="10">
        <f>'Revenue Assumptions'!$C$22/52*(1+Y7)*(1+$E$1)</f>
        <v>28560</v>
      </c>
      <c r="Z9" s="10">
        <f>'Revenue Assumptions'!$C$22/52*(1+Z7)*(1+$E$1)</f>
        <v>28560</v>
      </c>
      <c r="AA9" s="10">
        <f>'Revenue Assumptions'!$C$22/52*(1+AA7)*(1+$E$1)</f>
        <v>28560</v>
      </c>
      <c r="AB9" s="10">
        <f>'Revenue Assumptions'!$C$22/52*(1+AB7)*(1+$E$1)</f>
        <v>28560</v>
      </c>
      <c r="AC9" s="10">
        <f>'Revenue Assumptions'!$C$22/52*(1+AC7)*(1+$E$1)</f>
        <v>28560</v>
      </c>
      <c r="AD9" s="10">
        <f>'Revenue Assumptions'!$C$22/52*(1+AD7)*(1+$E$1)</f>
        <v>28560</v>
      </c>
      <c r="AE9" s="10">
        <f>'Revenue Assumptions'!$C$22/52*(1+AE7)*(1+$E$1)</f>
        <v>28560</v>
      </c>
      <c r="AF9" s="10">
        <f>'Revenue Assumptions'!$C$22/52*(1+AF7)*(1+$E$1)</f>
        <v>28560</v>
      </c>
      <c r="AG9" s="10">
        <f>'Revenue Assumptions'!$C$22/52*(1+AG7)*(1+$E$1)</f>
        <v>28560</v>
      </c>
      <c r="AH9" s="10">
        <f>'Revenue Assumptions'!$C$22/52*(1+AH7)*(1+$E$1)</f>
        <v>28560</v>
      </c>
      <c r="AI9" s="10">
        <f>'Revenue Assumptions'!$C$22/52*(1+AI7)*(1+$E$1)</f>
        <v>28560</v>
      </c>
      <c r="AJ9" s="10">
        <f>'Revenue Assumptions'!$C$22/52*(1+AJ7)*(1+$E$1)</f>
        <v>28560</v>
      </c>
      <c r="AK9" s="10">
        <f>'Revenue Assumptions'!$C$22/52*(1+AK7)*(1+$E$1)</f>
        <v>28560</v>
      </c>
      <c r="AL9" s="10">
        <f>'Revenue Assumptions'!$C$22/52*(1+AL7)*(1+$E$1)</f>
        <v>28560</v>
      </c>
      <c r="AM9" s="10">
        <f>'Revenue Assumptions'!$C$22/52*(1+AM7)*(1+$E$1)</f>
        <v>28560</v>
      </c>
      <c r="AN9" s="10">
        <f>'Revenue Assumptions'!$C$22/52*(1+AN7)*(1+$E$1)</f>
        <v>28560</v>
      </c>
      <c r="AO9" s="10">
        <f>'Revenue Assumptions'!$C$22/52*(1+AO7)*(1+$E$1)</f>
        <v>28560</v>
      </c>
      <c r="AP9" s="10">
        <f>'Revenue Assumptions'!$C$22/52*(1+AP7)*(1+$E$1)</f>
        <v>28560</v>
      </c>
      <c r="AQ9" s="10">
        <f>'Revenue Assumptions'!$C$22/52*(1+AQ7)*(1+$E$1)</f>
        <v>28560</v>
      </c>
      <c r="AR9" s="10">
        <f>'Revenue Assumptions'!$C$22/52*(1+AR7)*(1+$E$1)</f>
        <v>28560</v>
      </c>
      <c r="AS9" s="10">
        <f>'Revenue Assumptions'!$C$22/52*(1+AS7)*(1+$E$1)</f>
        <v>28560</v>
      </c>
      <c r="AT9" s="10">
        <f>'Revenue Assumptions'!$C$22/52*(1+AT7)*(1+$E$1)</f>
        <v>28560</v>
      </c>
      <c r="AU9" s="10">
        <f>'Revenue Assumptions'!$C$22/52*(1+AU7)*(1+$E$1)</f>
        <v>28560</v>
      </c>
      <c r="AV9" s="10">
        <f>'Revenue Assumptions'!$C$22/52*(1+AV7)*(1+$E$1)</f>
        <v>28560</v>
      </c>
      <c r="AW9" s="10">
        <f>'Revenue Assumptions'!$C$22/52*(1+AW7)*(1+$E$1)</f>
        <v>28560</v>
      </c>
      <c r="AX9" s="10">
        <f>'Revenue Assumptions'!$C$22/52*(1+AX7)*(1+$E$1)</f>
        <v>28560</v>
      </c>
      <c r="AY9" s="10">
        <f>'Revenue Assumptions'!$C$22/52*(1+AY7)*(1+$E$1)</f>
        <v>28560</v>
      </c>
      <c r="AZ9" s="10">
        <f>'Revenue Assumptions'!$C$22/52*(1+AZ7)*(1+$E$1)</f>
        <v>28560</v>
      </c>
      <c r="BA9" s="10">
        <f>'Revenue Assumptions'!$C$22/52*(1+BA7)*(1+$E$1)</f>
        <v>28560</v>
      </c>
      <c r="BB9" s="10">
        <f>'Revenue Assumptions'!$C$22/52*(1+BB7)*(1+$E$1)</f>
        <v>28560</v>
      </c>
      <c r="BC9" s="50">
        <f>SUM(C9:BB9)</f>
        <v>1485120</v>
      </c>
    </row>
    <row r="10" spans="2:55" x14ac:dyDescent="0.25">
      <c r="B10" s="16" t="s">
        <v>113</v>
      </c>
      <c r="C10" s="32">
        <f>'Operating Expense Assumptions'!$C$68/52*(1+C7)*(1+$E$1)</f>
        <v>19689.264000000003</v>
      </c>
      <c r="D10" s="32">
        <f>'Operating Expense Assumptions'!$C$68/52*(1+D7)*(1+$E$1)</f>
        <v>19689.264000000003</v>
      </c>
      <c r="E10" s="32">
        <f>'Operating Expense Assumptions'!$C$68/52*(1+E7)*(1+$E$1)</f>
        <v>19689.264000000003</v>
      </c>
      <c r="F10" s="32">
        <f>'Operating Expense Assumptions'!$C$68/52*(1+F7)*(1+$E$1)</f>
        <v>19689.264000000003</v>
      </c>
      <c r="G10" s="32">
        <f>'Operating Expense Assumptions'!$C$68/52*(1+G7)*(1+$E$1)</f>
        <v>19689.264000000003</v>
      </c>
      <c r="H10" s="32">
        <f>'Operating Expense Assumptions'!$C$68/52*(1+H7)*(1+$E$1)</f>
        <v>19689.264000000003</v>
      </c>
      <c r="I10" s="32">
        <f>'Operating Expense Assumptions'!$C$68/52*(1+I7)*(1+$E$1)</f>
        <v>19689.264000000003</v>
      </c>
      <c r="J10" s="32">
        <f>'Operating Expense Assumptions'!$C$68/52*(1+J7)*(1+$E$1)</f>
        <v>19689.264000000003</v>
      </c>
      <c r="K10" s="32">
        <f>'Operating Expense Assumptions'!$C$68/52*(1+K7)*(1+$E$1)</f>
        <v>19689.264000000003</v>
      </c>
      <c r="L10" s="32">
        <f>'Operating Expense Assumptions'!$C$68/52*(1+L7)*(1+$E$1)</f>
        <v>19689.264000000003</v>
      </c>
      <c r="M10" s="32">
        <f>'Operating Expense Assumptions'!$C$68/52*(1+M7)*(1+$E$1)</f>
        <v>19689.264000000003</v>
      </c>
      <c r="N10" s="32">
        <f>'Operating Expense Assumptions'!$C$68/52*(1+N7)*(1+$E$1)</f>
        <v>19689.264000000003</v>
      </c>
      <c r="O10" s="32">
        <f>'Operating Expense Assumptions'!$C$68/52*(1+O7)*(1+$E$1)</f>
        <v>19689.264000000003</v>
      </c>
      <c r="P10" s="32">
        <f>'Operating Expense Assumptions'!$C$68/52*(1+P7)*(1+$E$1)</f>
        <v>19689.264000000003</v>
      </c>
      <c r="Q10" s="32">
        <f>'Operating Expense Assumptions'!$C$68/52*(1+Q7)*(1+$E$1)</f>
        <v>19689.264000000003</v>
      </c>
      <c r="R10" s="32">
        <f>'Operating Expense Assumptions'!$C$68/52*(1+R7)*(1+$E$1)</f>
        <v>19689.264000000003</v>
      </c>
      <c r="S10" s="32">
        <f>'Operating Expense Assumptions'!$C$68/52*(1+S7)*(1+$E$1)</f>
        <v>19689.264000000003</v>
      </c>
      <c r="T10" s="32">
        <f>'Operating Expense Assumptions'!$C$68/52*(1+T7)*(1+$E$1)</f>
        <v>19689.264000000003</v>
      </c>
      <c r="U10" s="32">
        <f>'Operating Expense Assumptions'!$C$68/52*(1+U7)*(1+$E$1)</f>
        <v>19689.264000000003</v>
      </c>
      <c r="V10" s="32">
        <f>'Operating Expense Assumptions'!$C$68/52*(1+V7)*(1+$E$1)</f>
        <v>19689.264000000003</v>
      </c>
      <c r="W10" s="32">
        <f>'Operating Expense Assumptions'!$C$68/52*(1+W7)*(1+$E$1)</f>
        <v>19689.264000000003</v>
      </c>
      <c r="X10" s="32">
        <f>'Operating Expense Assumptions'!$C$68/52*(1+X7)*(1+$E$1)</f>
        <v>19689.264000000003</v>
      </c>
      <c r="Y10" s="32">
        <f>'Operating Expense Assumptions'!$C$68/52*(1+Y7)*(1+$E$1)</f>
        <v>19689.264000000003</v>
      </c>
      <c r="Z10" s="32">
        <f>'Operating Expense Assumptions'!$C$68/52*(1+Z7)*(1+$E$1)</f>
        <v>19689.264000000003</v>
      </c>
      <c r="AA10" s="32">
        <f>'Operating Expense Assumptions'!$C$68/52*(1+AA7)*(1+$E$1)</f>
        <v>19689.264000000003</v>
      </c>
      <c r="AB10" s="32">
        <f>'Operating Expense Assumptions'!$C$68/52*(1+AB7)*(1+$E$1)</f>
        <v>19689.264000000003</v>
      </c>
      <c r="AC10" s="32">
        <f>'Operating Expense Assumptions'!$C$68/52*(1+AC7)*(1+$E$1)</f>
        <v>19689.264000000003</v>
      </c>
      <c r="AD10" s="32">
        <f>'Operating Expense Assumptions'!$C$68/52*(1+AD7)*(1+$E$1)</f>
        <v>19689.264000000003</v>
      </c>
      <c r="AE10" s="32">
        <f>'Operating Expense Assumptions'!$C$68/52*(1+AE7)*(1+$E$1)</f>
        <v>19689.264000000003</v>
      </c>
      <c r="AF10" s="32">
        <f>'Operating Expense Assumptions'!$C$68/52*(1+AF7)*(1+$E$1)</f>
        <v>19689.264000000003</v>
      </c>
      <c r="AG10" s="32">
        <f>'Operating Expense Assumptions'!$C$68/52*(1+AG7)*(1+$E$1)</f>
        <v>19689.264000000003</v>
      </c>
      <c r="AH10" s="32">
        <f>'Operating Expense Assumptions'!$C$68/52*(1+AH7)*(1+$E$1)</f>
        <v>19689.264000000003</v>
      </c>
      <c r="AI10" s="32">
        <f>'Operating Expense Assumptions'!$C$68/52*(1+AI7)*(1+$E$1)</f>
        <v>19689.264000000003</v>
      </c>
      <c r="AJ10" s="32">
        <f>'Operating Expense Assumptions'!$C$68/52*(1+AJ7)*(1+$E$1)</f>
        <v>19689.264000000003</v>
      </c>
      <c r="AK10" s="32">
        <f>'Operating Expense Assumptions'!$C$68/52*(1+AK7)*(1+$E$1)</f>
        <v>19689.264000000003</v>
      </c>
      <c r="AL10" s="32">
        <f>'Operating Expense Assumptions'!$C$68/52*(1+AL7)*(1+$E$1)</f>
        <v>19689.264000000003</v>
      </c>
      <c r="AM10" s="32">
        <f>'Operating Expense Assumptions'!$C$68/52*(1+AM7)*(1+$E$1)</f>
        <v>19689.264000000003</v>
      </c>
      <c r="AN10" s="32">
        <f>'Operating Expense Assumptions'!$C$68/52*(1+AN7)*(1+$E$1)</f>
        <v>19689.264000000003</v>
      </c>
      <c r="AO10" s="32">
        <f>'Operating Expense Assumptions'!$C$68/52*(1+AO7)*(1+$E$1)</f>
        <v>19689.264000000003</v>
      </c>
      <c r="AP10" s="32">
        <f>'Operating Expense Assumptions'!$C$68/52*(1+AP7)*(1+$E$1)</f>
        <v>19689.264000000003</v>
      </c>
      <c r="AQ10" s="32">
        <f>'Operating Expense Assumptions'!$C$68/52*(1+AQ7)*(1+$E$1)</f>
        <v>19689.264000000003</v>
      </c>
      <c r="AR10" s="32">
        <f>'Operating Expense Assumptions'!$C$68/52*(1+AR7)*(1+$E$1)</f>
        <v>19689.264000000003</v>
      </c>
      <c r="AS10" s="32">
        <f>'Operating Expense Assumptions'!$C$68/52*(1+AS7)*(1+$E$1)</f>
        <v>19689.264000000003</v>
      </c>
      <c r="AT10" s="32">
        <f>'Operating Expense Assumptions'!$C$68/52*(1+AT7)*(1+$E$1)</f>
        <v>19689.264000000003</v>
      </c>
      <c r="AU10" s="32">
        <f>'Operating Expense Assumptions'!$C$68/52*(1+AU7)*(1+$E$1)</f>
        <v>19689.264000000003</v>
      </c>
      <c r="AV10" s="32">
        <f>'Operating Expense Assumptions'!$C$68/52*(1+AV7)*(1+$E$1)</f>
        <v>19689.264000000003</v>
      </c>
      <c r="AW10" s="32">
        <f>'Operating Expense Assumptions'!$C$68/52*(1+AW7)*(1+$E$1)</f>
        <v>19689.264000000003</v>
      </c>
      <c r="AX10" s="32">
        <f>'Operating Expense Assumptions'!$C$68/52*(1+AX7)*(1+$E$1)</f>
        <v>19689.264000000003</v>
      </c>
      <c r="AY10" s="32">
        <f>'Operating Expense Assumptions'!$C$68/52*(1+AY7)*(1+$E$1)</f>
        <v>19689.264000000003</v>
      </c>
      <c r="AZ10" s="32">
        <f>'Operating Expense Assumptions'!$C$68/52*(1+AZ7)*(1+$E$1)</f>
        <v>19689.264000000003</v>
      </c>
      <c r="BA10" s="32">
        <f>'Operating Expense Assumptions'!$C$68/52*(1+BA7)*(1+$E$1)</f>
        <v>19689.264000000003</v>
      </c>
      <c r="BB10" s="32">
        <f>'Operating Expense Assumptions'!$C$68/52*(1+BB7)*(1+$E$1)</f>
        <v>19689.264000000003</v>
      </c>
      <c r="BC10" s="51">
        <f t="shared" ref="BC10:BC28" si="0">SUM(C10:BB10)</f>
        <v>1023841.7279999994</v>
      </c>
    </row>
    <row r="11" spans="2:55" ht="15.75" thickBot="1" x14ac:dyDescent="0.3">
      <c r="B11" s="29" t="s">
        <v>114</v>
      </c>
      <c r="C11" s="30">
        <f>C9-C10</f>
        <v>8870.7359999999971</v>
      </c>
      <c r="D11" s="30">
        <f t="shared" ref="D11:BB11" si="1">D9-D10</f>
        <v>8870.7359999999971</v>
      </c>
      <c r="E11" s="30">
        <f t="shared" si="1"/>
        <v>8870.7359999999971</v>
      </c>
      <c r="F11" s="30">
        <f t="shared" si="1"/>
        <v>8870.7359999999971</v>
      </c>
      <c r="G11" s="30">
        <f t="shared" si="1"/>
        <v>8870.7359999999971</v>
      </c>
      <c r="H11" s="30">
        <f t="shared" si="1"/>
        <v>8870.7359999999971</v>
      </c>
      <c r="I11" s="30">
        <f t="shared" si="1"/>
        <v>8870.7359999999971</v>
      </c>
      <c r="J11" s="30">
        <f t="shared" si="1"/>
        <v>8870.7359999999971</v>
      </c>
      <c r="K11" s="30">
        <f t="shared" si="1"/>
        <v>8870.7359999999971</v>
      </c>
      <c r="L11" s="30">
        <f t="shared" si="1"/>
        <v>8870.7359999999971</v>
      </c>
      <c r="M11" s="30">
        <f t="shared" si="1"/>
        <v>8870.7359999999971</v>
      </c>
      <c r="N11" s="30">
        <f t="shared" si="1"/>
        <v>8870.7359999999971</v>
      </c>
      <c r="O11" s="30">
        <f t="shared" si="1"/>
        <v>8870.7359999999971</v>
      </c>
      <c r="P11" s="30">
        <f t="shared" si="1"/>
        <v>8870.7359999999971</v>
      </c>
      <c r="Q11" s="30">
        <f t="shared" si="1"/>
        <v>8870.7359999999971</v>
      </c>
      <c r="R11" s="30">
        <f t="shared" si="1"/>
        <v>8870.7359999999971</v>
      </c>
      <c r="S11" s="30">
        <f t="shared" si="1"/>
        <v>8870.7359999999971</v>
      </c>
      <c r="T11" s="30">
        <f t="shared" si="1"/>
        <v>8870.7359999999971</v>
      </c>
      <c r="U11" s="30">
        <f t="shared" si="1"/>
        <v>8870.7359999999971</v>
      </c>
      <c r="V11" s="30">
        <f t="shared" si="1"/>
        <v>8870.7359999999971</v>
      </c>
      <c r="W11" s="30">
        <f t="shared" si="1"/>
        <v>8870.7359999999971</v>
      </c>
      <c r="X11" s="30">
        <f t="shared" si="1"/>
        <v>8870.7359999999971</v>
      </c>
      <c r="Y11" s="30">
        <f t="shared" si="1"/>
        <v>8870.7359999999971</v>
      </c>
      <c r="Z11" s="30">
        <f t="shared" si="1"/>
        <v>8870.7359999999971</v>
      </c>
      <c r="AA11" s="30">
        <f t="shared" si="1"/>
        <v>8870.7359999999971</v>
      </c>
      <c r="AB11" s="30">
        <f t="shared" si="1"/>
        <v>8870.7359999999971</v>
      </c>
      <c r="AC11" s="30">
        <f t="shared" si="1"/>
        <v>8870.7359999999971</v>
      </c>
      <c r="AD11" s="30">
        <f t="shared" si="1"/>
        <v>8870.7359999999971</v>
      </c>
      <c r="AE11" s="30">
        <f t="shared" si="1"/>
        <v>8870.7359999999971</v>
      </c>
      <c r="AF11" s="30">
        <f t="shared" si="1"/>
        <v>8870.7359999999971</v>
      </c>
      <c r="AG11" s="30">
        <f t="shared" si="1"/>
        <v>8870.7359999999971</v>
      </c>
      <c r="AH11" s="30">
        <f t="shared" si="1"/>
        <v>8870.7359999999971</v>
      </c>
      <c r="AI11" s="30">
        <f t="shared" si="1"/>
        <v>8870.7359999999971</v>
      </c>
      <c r="AJ11" s="30">
        <f t="shared" si="1"/>
        <v>8870.7359999999971</v>
      </c>
      <c r="AK11" s="30">
        <f t="shared" si="1"/>
        <v>8870.7359999999971</v>
      </c>
      <c r="AL11" s="30">
        <f t="shared" si="1"/>
        <v>8870.7359999999971</v>
      </c>
      <c r="AM11" s="30">
        <f t="shared" si="1"/>
        <v>8870.7359999999971</v>
      </c>
      <c r="AN11" s="30">
        <f t="shared" si="1"/>
        <v>8870.7359999999971</v>
      </c>
      <c r="AO11" s="30">
        <f t="shared" si="1"/>
        <v>8870.7359999999971</v>
      </c>
      <c r="AP11" s="30">
        <f t="shared" si="1"/>
        <v>8870.7359999999971</v>
      </c>
      <c r="AQ11" s="30">
        <f t="shared" si="1"/>
        <v>8870.7359999999971</v>
      </c>
      <c r="AR11" s="30">
        <f t="shared" si="1"/>
        <v>8870.7359999999971</v>
      </c>
      <c r="AS11" s="30">
        <f t="shared" si="1"/>
        <v>8870.7359999999971</v>
      </c>
      <c r="AT11" s="30">
        <f t="shared" si="1"/>
        <v>8870.7359999999971</v>
      </c>
      <c r="AU11" s="30">
        <f t="shared" si="1"/>
        <v>8870.7359999999971</v>
      </c>
      <c r="AV11" s="30">
        <f t="shared" si="1"/>
        <v>8870.7359999999971</v>
      </c>
      <c r="AW11" s="30">
        <f t="shared" si="1"/>
        <v>8870.7359999999971</v>
      </c>
      <c r="AX11" s="30">
        <f t="shared" si="1"/>
        <v>8870.7359999999971</v>
      </c>
      <c r="AY11" s="30">
        <f t="shared" si="1"/>
        <v>8870.7359999999971</v>
      </c>
      <c r="AZ11" s="30">
        <f t="shared" si="1"/>
        <v>8870.7359999999971</v>
      </c>
      <c r="BA11" s="30">
        <f t="shared" si="1"/>
        <v>8870.7359999999971</v>
      </c>
      <c r="BB11" s="30">
        <f t="shared" si="1"/>
        <v>8870.7359999999971</v>
      </c>
      <c r="BC11" s="52">
        <f t="shared" si="0"/>
        <v>461278.27199999953</v>
      </c>
    </row>
    <row r="12" spans="2:55" ht="15.75" thickTop="1" x14ac:dyDescent="0.25">
      <c r="B12" s="74" t="s">
        <v>357</v>
      </c>
      <c r="C12" s="75">
        <f>C11/C9</f>
        <v>0.31059999999999988</v>
      </c>
      <c r="D12" s="75">
        <f t="shared" ref="D12:BC12" si="2">D11/D9</f>
        <v>0.31059999999999988</v>
      </c>
      <c r="E12" s="75">
        <f t="shared" si="2"/>
        <v>0.31059999999999988</v>
      </c>
      <c r="F12" s="75">
        <f t="shared" si="2"/>
        <v>0.31059999999999988</v>
      </c>
      <c r="G12" s="75">
        <f t="shared" si="2"/>
        <v>0.31059999999999988</v>
      </c>
      <c r="H12" s="75">
        <f t="shared" si="2"/>
        <v>0.31059999999999988</v>
      </c>
      <c r="I12" s="75">
        <f t="shared" si="2"/>
        <v>0.31059999999999988</v>
      </c>
      <c r="J12" s="75">
        <f t="shared" si="2"/>
        <v>0.31059999999999988</v>
      </c>
      <c r="K12" s="75">
        <f t="shared" si="2"/>
        <v>0.31059999999999988</v>
      </c>
      <c r="L12" s="75">
        <f t="shared" si="2"/>
        <v>0.31059999999999988</v>
      </c>
      <c r="M12" s="75">
        <f t="shared" si="2"/>
        <v>0.31059999999999988</v>
      </c>
      <c r="N12" s="75">
        <f t="shared" si="2"/>
        <v>0.31059999999999988</v>
      </c>
      <c r="O12" s="75">
        <f t="shared" si="2"/>
        <v>0.31059999999999988</v>
      </c>
      <c r="P12" s="75">
        <f t="shared" si="2"/>
        <v>0.31059999999999988</v>
      </c>
      <c r="Q12" s="75">
        <f t="shared" si="2"/>
        <v>0.31059999999999988</v>
      </c>
      <c r="R12" s="75">
        <f t="shared" si="2"/>
        <v>0.31059999999999988</v>
      </c>
      <c r="S12" s="75">
        <f t="shared" si="2"/>
        <v>0.31059999999999988</v>
      </c>
      <c r="T12" s="75">
        <f t="shared" si="2"/>
        <v>0.31059999999999988</v>
      </c>
      <c r="U12" s="75">
        <f t="shared" si="2"/>
        <v>0.31059999999999988</v>
      </c>
      <c r="V12" s="75">
        <f t="shared" si="2"/>
        <v>0.31059999999999988</v>
      </c>
      <c r="W12" s="75">
        <f t="shared" si="2"/>
        <v>0.31059999999999988</v>
      </c>
      <c r="X12" s="75">
        <f t="shared" si="2"/>
        <v>0.31059999999999988</v>
      </c>
      <c r="Y12" s="75">
        <f t="shared" si="2"/>
        <v>0.31059999999999988</v>
      </c>
      <c r="Z12" s="75">
        <f t="shared" si="2"/>
        <v>0.31059999999999988</v>
      </c>
      <c r="AA12" s="75">
        <f t="shared" si="2"/>
        <v>0.31059999999999988</v>
      </c>
      <c r="AB12" s="75">
        <f t="shared" si="2"/>
        <v>0.31059999999999988</v>
      </c>
      <c r="AC12" s="75">
        <f t="shared" si="2"/>
        <v>0.31059999999999988</v>
      </c>
      <c r="AD12" s="75">
        <f t="shared" si="2"/>
        <v>0.31059999999999988</v>
      </c>
      <c r="AE12" s="75">
        <f t="shared" si="2"/>
        <v>0.31059999999999988</v>
      </c>
      <c r="AF12" s="75">
        <f t="shared" si="2"/>
        <v>0.31059999999999988</v>
      </c>
      <c r="AG12" s="75">
        <f t="shared" si="2"/>
        <v>0.31059999999999988</v>
      </c>
      <c r="AH12" s="75">
        <f t="shared" si="2"/>
        <v>0.31059999999999988</v>
      </c>
      <c r="AI12" s="75">
        <f t="shared" si="2"/>
        <v>0.31059999999999988</v>
      </c>
      <c r="AJ12" s="75">
        <f t="shared" si="2"/>
        <v>0.31059999999999988</v>
      </c>
      <c r="AK12" s="75">
        <f t="shared" si="2"/>
        <v>0.31059999999999988</v>
      </c>
      <c r="AL12" s="75">
        <f t="shared" si="2"/>
        <v>0.31059999999999988</v>
      </c>
      <c r="AM12" s="75">
        <f t="shared" si="2"/>
        <v>0.31059999999999988</v>
      </c>
      <c r="AN12" s="75">
        <f t="shared" si="2"/>
        <v>0.31059999999999988</v>
      </c>
      <c r="AO12" s="75">
        <f t="shared" si="2"/>
        <v>0.31059999999999988</v>
      </c>
      <c r="AP12" s="75">
        <f t="shared" si="2"/>
        <v>0.31059999999999988</v>
      </c>
      <c r="AQ12" s="75">
        <f t="shared" si="2"/>
        <v>0.31059999999999988</v>
      </c>
      <c r="AR12" s="75">
        <f t="shared" si="2"/>
        <v>0.31059999999999988</v>
      </c>
      <c r="AS12" s="75">
        <f t="shared" si="2"/>
        <v>0.31059999999999988</v>
      </c>
      <c r="AT12" s="75">
        <f t="shared" si="2"/>
        <v>0.31059999999999988</v>
      </c>
      <c r="AU12" s="75">
        <f t="shared" si="2"/>
        <v>0.31059999999999988</v>
      </c>
      <c r="AV12" s="75">
        <f t="shared" si="2"/>
        <v>0.31059999999999988</v>
      </c>
      <c r="AW12" s="75">
        <f t="shared" si="2"/>
        <v>0.31059999999999988</v>
      </c>
      <c r="AX12" s="75">
        <f t="shared" si="2"/>
        <v>0.31059999999999988</v>
      </c>
      <c r="AY12" s="75">
        <f t="shared" si="2"/>
        <v>0.31059999999999988</v>
      </c>
      <c r="AZ12" s="75">
        <f t="shared" si="2"/>
        <v>0.31059999999999988</v>
      </c>
      <c r="BA12" s="75">
        <f t="shared" si="2"/>
        <v>0.31059999999999988</v>
      </c>
      <c r="BB12" s="75">
        <f t="shared" si="2"/>
        <v>0.31059999999999988</v>
      </c>
      <c r="BC12" s="75">
        <f t="shared" si="2"/>
        <v>0.31059999999999971</v>
      </c>
    </row>
    <row r="13" spans="2:55" x14ac:dyDescent="0.25">
      <c r="BC13" s="8"/>
    </row>
    <row r="14" spans="2:55" x14ac:dyDescent="0.25">
      <c r="B14" s="8" t="s">
        <v>51</v>
      </c>
      <c r="BC14" s="8"/>
    </row>
    <row r="15" spans="2:55" x14ac:dyDescent="0.25">
      <c r="B15" t="s">
        <v>133</v>
      </c>
      <c r="C15" s="10">
        <f>'Operating Expense Assumptions'!$C$44/52*(1+$E$1)</f>
        <v>11684.115692307694</v>
      </c>
      <c r="D15" s="10">
        <f>'Operating Expense Assumptions'!$C$44/52*(1+$E$1)</f>
        <v>11684.115692307694</v>
      </c>
      <c r="E15" s="10">
        <f>'Operating Expense Assumptions'!$C$44/52*(1+$E$1)</f>
        <v>11684.115692307694</v>
      </c>
      <c r="F15" s="10">
        <f>'Operating Expense Assumptions'!$C$44/52*(1+$E$1)</f>
        <v>11684.115692307694</v>
      </c>
      <c r="G15" s="10">
        <f>'Operating Expense Assumptions'!$C$44/52*(1+$E$1)</f>
        <v>11684.115692307694</v>
      </c>
      <c r="H15" s="10">
        <f>'Operating Expense Assumptions'!$C$44/52*(1+$E$1)</f>
        <v>11684.115692307694</v>
      </c>
      <c r="I15" s="10">
        <f>'Operating Expense Assumptions'!$C$44/52*(1+$E$1)</f>
        <v>11684.115692307694</v>
      </c>
      <c r="J15" s="10">
        <f>'Operating Expense Assumptions'!$C$44/52*(1+$E$1)</f>
        <v>11684.115692307694</v>
      </c>
      <c r="K15" s="10">
        <f>'Operating Expense Assumptions'!$C$44/52*(1+$E$1)</f>
        <v>11684.115692307694</v>
      </c>
      <c r="L15" s="10">
        <f>'Operating Expense Assumptions'!$C$44/52*(1+$E$1)</f>
        <v>11684.115692307694</v>
      </c>
      <c r="M15" s="10">
        <f>'Operating Expense Assumptions'!$C$44/52*(1+$E$1)</f>
        <v>11684.115692307694</v>
      </c>
      <c r="N15" s="10">
        <f>'Operating Expense Assumptions'!$C$44/52*(1+$E$1)</f>
        <v>11684.115692307694</v>
      </c>
      <c r="O15" s="10">
        <f>'Operating Expense Assumptions'!$C$44/52*(1+$E$1)</f>
        <v>11684.115692307694</v>
      </c>
      <c r="P15" s="10">
        <f>'Operating Expense Assumptions'!$C$44/52*(1+$E$1)</f>
        <v>11684.115692307694</v>
      </c>
      <c r="Q15" s="10">
        <f>'Operating Expense Assumptions'!$C$44/52*(1+$E$1)</f>
        <v>11684.115692307694</v>
      </c>
      <c r="R15" s="10">
        <f>'Operating Expense Assumptions'!$C$44/52*(1+$E$1)</f>
        <v>11684.115692307694</v>
      </c>
      <c r="S15" s="10">
        <f>'Operating Expense Assumptions'!$C$44/52*(1+$E$1)</f>
        <v>11684.115692307694</v>
      </c>
      <c r="T15" s="10">
        <f>'Operating Expense Assumptions'!$C$44/52*(1+$E$1)</f>
        <v>11684.115692307694</v>
      </c>
      <c r="U15" s="10">
        <f>'Operating Expense Assumptions'!$C$44/52*(1+$E$1)</f>
        <v>11684.115692307694</v>
      </c>
      <c r="V15" s="10">
        <f>'Operating Expense Assumptions'!$C$44/52*(1+$E$1)</f>
        <v>11684.115692307694</v>
      </c>
      <c r="W15" s="10">
        <f>'Operating Expense Assumptions'!$C$44/52*(1+$E$1)</f>
        <v>11684.115692307694</v>
      </c>
      <c r="X15" s="10">
        <f>'Operating Expense Assumptions'!$C$44/52*(1+$E$1)</f>
        <v>11684.115692307694</v>
      </c>
      <c r="Y15" s="10">
        <f>'Operating Expense Assumptions'!$C$44/52*(1+$E$1)</f>
        <v>11684.115692307694</v>
      </c>
      <c r="Z15" s="10">
        <f>'Operating Expense Assumptions'!$C$44/52*(1+$E$1)</f>
        <v>11684.115692307694</v>
      </c>
      <c r="AA15" s="10">
        <f>'Operating Expense Assumptions'!$C$44/52*(1+$E$1)</f>
        <v>11684.115692307694</v>
      </c>
      <c r="AB15" s="10">
        <f>'Operating Expense Assumptions'!$C$44/52*(1+$E$1)</f>
        <v>11684.115692307694</v>
      </c>
      <c r="AC15" s="10">
        <f>'Operating Expense Assumptions'!$C$44/52*(1+$E$1)</f>
        <v>11684.115692307694</v>
      </c>
      <c r="AD15" s="10">
        <f>'Operating Expense Assumptions'!$C$44/52*(1+$E$1)</f>
        <v>11684.115692307694</v>
      </c>
      <c r="AE15" s="10">
        <f>'Operating Expense Assumptions'!$C$44/52*(1+$E$1)</f>
        <v>11684.115692307694</v>
      </c>
      <c r="AF15" s="10">
        <f>'Operating Expense Assumptions'!$C$44/52*(1+$E$1)</f>
        <v>11684.115692307694</v>
      </c>
      <c r="AG15" s="10">
        <f>'Operating Expense Assumptions'!$C$44/52*(1+$E$1)</f>
        <v>11684.115692307694</v>
      </c>
      <c r="AH15" s="10">
        <f>'Operating Expense Assumptions'!$C$44/52*(1+$E$1)</f>
        <v>11684.115692307694</v>
      </c>
      <c r="AI15" s="10">
        <f>'Operating Expense Assumptions'!$C$44/52*(1+$E$1)</f>
        <v>11684.115692307694</v>
      </c>
      <c r="AJ15" s="10">
        <f>'Operating Expense Assumptions'!$C$44/52*(1+$E$1)</f>
        <v>11684.115692307694</v>
      </c>
      <c r="AK15" s="10">
        <f>'Operating Expense Assumptions'!$C$44/52*(1+$E$1)</f>
        <v>11684.115692307694</v>
      </c>
      <c r="AL15" s="10">
        <f>'Operating Expense Assumptions'!$C$44/52*(1+$E$1)</f>
        <v>11684.115692307694</v>
      </c>
      <c r="AM15" s="10">
        <f>'Operating Expense Assumptions'!$C$44/52*(1+$E$1)</f>
        <v>11684.115692307694</v>
      </c>
      <c r="AN15" s="10">
        <f>'Operating Expense Assumptions'!$C$44/52*(1+$E$1)</f>
        <v>11684.115692307694</v>
      </c>
      <c r="AO15" s="10">
        <f>'Operating Expense Assumptions'!$C$44/52*(1+$E$1)</f>
        <v>11684.115692307694</v>
      </c>
      <c r="AP15" s="10">
        <f>'Operating Expense Assumptions'!$C$44/52*(1+$E$1)</f>
        <v>11684.115692307694</v>
      </c>
      <c r="AQ15" s="10">
        <f>'Operating Expense Assumptions'!$C$44/52*(1+$E$1)</f>
        <v>11684.115692307694</v>
      </c>
      <c r="AR15" s="10">
        <f>'Operating Expense Assumptions'!$C$44/52*(1+$E$1)</f>
        <v>11684.115692307694</v>
      </c>
      <c r="AS15" s="10">
        <f>'Operating Expense Assumptions'!$C$44/52*(1+$E$1)</f>
        <v>11684.115692307694</v>
      </c>
      <c r="AT15" s="10">
        <f>'Operating Expense Assumptions'!$C$44/52*(1+$E$1)</f>
        <v>11684.115692307694</v>
      </c>
      <c r="AU15" s="10">
        <f>'Operating Expense Assumptions'!$C$44/52*(1+$E$1)</f>
        <v>11684.115692307694</v>
      </c>
      <c r="AV15" s="10">
        <f>'Operating Expense Assumptions'!$C$44/52*(1+$E$1)</f>
        <v>11684.115692307694</v>
      </c>
      <c r="AW15" s="10">
        <f>'Operating Expense Assumptions'!$C$44/52*(1+$E$1)</f>
        <v>11684.115692307694</v>
      </c>
      <c r="AX15" s="10">
        <f>'Operating Expense Assumptions'!$C$44/52*(1+$E$1)</f>
        <v>11684.115692307694</v>
      </c>
      <c r="AY15" s="10">
        <f>'Operating Expense Assumptions'!$C$44/52*(1+$E$1)</f>
        <v>11684.115692307694</v>
      </c>
      <c r="AZ15" s="10">
        <f>'Operating Expense Assumptions'!$C$44/52*(1+$E$1)</f>
        <v>11684.115692307694</v>
      </c>
      <c r="BA15" s="10">
        <f>'Operating Expense Assumptions'!$C$44/52*(1+$E$1)</f>
        <v>11684.115692307694</v>
      </c>
      <c r="BB15" s="10">
        <f>'Operating Expense Assumptions'!$C$44/52*(1+$E$1)</f>
        <v>11684.115692307694</v>
      </c>
      <c r="BC15" s="50">
        <f t="shared" si="0"/>
        <v>607574.01600000053</v>
      </c>
    </row>
    <row r="16" spans="2:55" x14ac:dyDescent="0.25">
      <c r="B16" t="s">
        <v>134</v>
      </c>
      <c r="C16" s="10">
        <f>('Operating Expense Assumptions'!$C$66-'Operating Expense Assumptions'!$C$55)/52*(1+$E$1)</f>
        <v>9108.246923076922</v>
      </c>
      <c r="D16" s="10">
        <f>('Operating Expense Assumptions'!$C$66-'Operating Expense Assumptions'!$C$55)/52*(1+$E$1)</f>
        <v>9108.246923076922</v>
      </c>
      <c r="E16" s="10">
        <f>('Operating Expense Assumptions'!$C$66-'Operating Expense Assumptions'!$C$55)/52*(1+$E$1)</f>
        <v>9108.246923076922</v>
      </c>
      <c r="F16" s="10">
        <f>('Operating Expense Assumptions'!$C$66-'Operating Expense Assumptions'!$C$55)/52*(1+$E$1)</f>
        <v>9108.246923076922</v>
      </c>
      <c r="G16" s="10">
        <f>('Operating Expense Assumptions'!$C$66-'Operating Expense Assumptions'!$C$55)/52*(1+$E$1)</f>
        <v>9108.246923076922</v>
      </c>
      <c r="H16" s="10">
        <f>('Operating Expense Assumptions'!$C$66-'Operating Expense Assumptions'!$C$55)/52*(1+$E$1)</f>
        <v>9108.246923076922</v>
      </c>
      <c r="I16" s="10">
        <f>('Operating Expense Assumptions'!$C$66-'Operating Expense Assumptions'!$C$55)/52*(1+$E$1)</f>
        <v>9108.246923076922</v>
      </c>
      <c r="J16" s="10">
        <f>('Operating Expense Assumptions'!$C$66-'Operating Expense Assumptions'!$C$55)/52*(1+$E$1)</f>
        <v>9108.246923076922</v>
      </c>
      <c r="K16" s="10">
        <f>('Operating Expense Assumptions'!$C$66-'Operating Expense Assumptions'!$C$55)/52*(1+$E$1)</f>
        <v>9108.246923076922</v>
      </c>
      <c r="L16" s="10">
        <f>('Operating Expense Assumptions'!$C$66-'Operating Expense Assumptions'!$C$55)/52*(1+$E$1)</f>
        <v>9108.246923076922</v>
      </c>
      <c r="M16" s="10">
        <f>('Operating Expense Assumptions'!$C$66-'Operating Expense Assumptions'!$C$55)/52*(1+$E$1)</f>
        <v>9108.246923076922</v>
      </c>
      <c r="N16" s="10">
        <f>('Operating Expense Assumptions'!$C$66-'Operating Expense Assumptions'!$C$55)/52*(1+$E$1)</f>
        <v>9108.246923076922</v>
      </c>
      <c r="O16" s="10">
        <f>('Operating Expense Assumptions'!$C$66-'Operating Expense Assumptions'!$C$55)/52*(1+$E$1)</f>
        <v>9108.246923076922</v>
      </c>
      <c r="P16" s="10">
        <f>('Operating Expense Assumptions'!$C$66-'Operating Expense Assumptions'!$C$55)/52*(1+$E$1)</f>
        <v>9108.246923076922</v>
      </c>
      <c r="Q16" s="10">
        <f>('Operating Expense Assumptions'!$C$66-'Operating Expense Assumptions'!$C$55)/52*(1+$E$1)</f>
        <v>9108.246923076922</v>
      </c>
      <c r="R16" s="10">
        <f>('Operating Expense Assumptions'!$C$66-'Operating Expense Assumptions'!$C$55)/52*(1+$E$1)</f>
        <v>9108.246923076922</v>
      </c>
      <c r="S16" s="10">
        <f>('Operating Expense Assumptions'!$C$66-'Operating Expense Assumptions'!$C$55)/52*(1+$E$1)</f>
        <v>9108.246923076922</v>
      </c>
      <c r="T16" s="10">
        <f>('Operating Expense Assumptions'!$C$66-'Operating Expense Assumptions'!$C$55)/52*(1+$E$1)</f>
        <v>9108.246923076922</v>
      </c>
      <c r="U16" s="10">
        <f>('Operating Expense Assumptions'!$C$66-'Operating Expense Assumptions'!$C$55)/52*(1+$E$1)</f>
        <v>9108.246923076922</v>
      </c>
      <c r="V16" s="10">
        <f>('Operating Expense Assumptions'!$C$66-'Operating Expense Assumptions'!$C$55)/52*(1+$E$1)</f>
        <v>9108.246923076922</v>
      </c>
      <c r="W16" s="10">
        <f>('Operating Expense Assumptions'!$C$66-'Operating Expense Assumptions'!$C$55)/52*(1+$E$1)</f>
        <v>9108.246923076922</v>
      </c>
      <c r="X16" s="10">
        <f>('Operating Expense Assumptions'!$C$66-'Operating Expense Assumptions'!$C$55)/52*(1+$E$1)</f>
        <v>9108.246923076922</v>
      </c>
      <c r="Y16" s="10">
        <f>('Operating Expense Assumptions'!$C$66-'Operating Expense Assumptions'!$C$55)/52*(1+$E$1)</f>
        <v>9108.246923076922</v>
      </c>
      <c r="Z16" s="10">
        <f>('Operating Expense Assumptions'!$C$66-'Operating Expense Assumptions'!$C$55)/52*(1+$E$1)</f>
        <v>9108.246923076922</v>
      </c>
      <c r="AA16" s="10">
        <f>('Operating Expense Assumptions'!$C$66-'Operating Expense Assumptions'!$C$55)/52*(1+$E$1)</f>
        <v>9108.246923076922</v>
      </c>
      <c r="AB16" s="10">
        <f>('Operating Expense Assumptions'!$C$66-'Operating Expense Assumptions'!$C$55)/52*(1+$E$1)</f>
        <v>9108.246923076922</v>
      </c>
      <c r="AC16" s="10">
        <f>('Operating Expense Assumptions'!$C$66-'Operating Expense Assumptions'!$C$55)/52*(1+$E$1)</f>
        <v>9108.246923076922</v>
      </c>
      <c r="AD16" s="10">
        <f>('Operating Expense Assumptions'!$C$66-'Operating Expense Assumptions'!$C$55)/52*(1+$E$1)</f>
        <v>9108.246923076922</v>
      </c>
      <c r="AE16" s="10">
        <f>('Operating Expense Assumptions'!$C$66-'Operating Expense Assumptions'!$C$55)/52*(1+$E$1)</f>
        <v>9108.246923076922</v>
      </c>
      <c r="AF16" s="10">
        <f>('Operating Expense Assumptions'!$C$66-'Operating Expense Assumptions'!$C$55)/52*(1+$E$1)</f>
        <v>9108.246923076922</v>
      </c>
      <c r="AG16" s="10">
        <f>('Operating Expense Assumptions'!$C$66-'Operating Expense Assumptions'!$C$55)/52*(1+$E$1)</f>
        <v>9108.246923076922</v>
      </c>
      <c r="AH16" s="10">
        <f>('Operating Expense Assumptions'!$C$66-'Operating Expense Assumptions'!$C$55)/52*(1+$E$1)</f>
        <v>9108.246923076922</v>
      </c>
      <c r="AI16" s="10">
        <f>('Operating Expense Assumptions'!$C$66-'Operating Expense Assumptions'!$C$55)/52*(1+$E$1)</f>
        <v>9108.246923076922</v>
      </c>
      <c r="AJ16" s="10">
        <f>('Operating Expense Assumptions'!$C$66-'Operating Expense Assumptions'!$C$55)/52*(1+$E$1)</f>
        <v>9108.246923076922</v>
      </c>
      <c r="AK16" s="10">
        <f>('Operating Expense Assumptions'!$C$66-'Operating Expense Assumptions'!$C$55)/52*(1+$E$1)</f>
        <v>9108.246923076922</v>
      </c>
      <c r="AL16" s="10">
        <f>('Operating Expense Assumptions'!$C$66-'Operating Expense Assumptions'!$C$55)/52*(1+$E$1)</f>
        <v>9108.246923076922</v>
      </c>
      <c r="AM16" s="10">
        <f>('Operating Expense Assumptions'!$C$66-'Operating Expense Assumptions'!$C$55)/52*(1+$E$1)</f>
        <v>9108.246923076922</v>
      </c>
      <c r="AN16" s="10">
        <f>('Operating Expense Assumptions'!$C$66-'Operating Expense Assumptions'!$C$55)/52*(1+$E$1)</f>
        <v>9108.246923076922</v>
      </c>
      <c r="AO16" s="10">
        <f>('Operating Expense Assumptions'!$C$66-'Operating Expense Assumptions'!$C$55)/52*(1+$E$1)</f>
        <v>9108.246923076922</v>
      </c>
      <c r="AP16" s="10">
        <f>('Operating Expense Assumptions'!$C$66-'Operating Expense Assumptions'!$C$55)/52*(1+$E$1)</f>
        <v>9108.246923076922</v>
      </c>
      <c r="AQ16" s="10">
        <f>('Operating Expense Assumptions'!$C$66-'Operating Expense Assumptions'!$C$55)/52*(1+$E$1)</f>
        <v>9108.246923076922</v>
      </c>
      <c r="AR16" s="10">
        <f>('Operating Expense Assumptions'!$C$66-'Operating Expense Assumptions'!$C$55)/52*(1+$E$1)</f>
        <v>9108.246923076922</v>
      </c>
      <c r="AS16" s="10">
        <f>('Operating Expense Assumptions'!$C$66-'Operating Expense Assumptions'!$C$55)/52*(1+$E$1)</f>
        <v>9108.246923076922</v>
      </c>
      <c r="AT16" s="10">
        <f>('Operating Expense Assumptions'!$C$66-'Operating Expense Assumptions'!$C$55)/52*(1+$E$1)</f>
        <v>9108.246923076922</v>
      </c>
      <c r="AU16" s="10">
        <f>('Operating Expense Assumptions'!$C$66-'Operating Expense Assumptions'!$C$55)/52*(1+$E$1)</f>
        <v>9108.246923076922</v>
      </c>
      <c r="AV16" s="10">
        <f>('Operating Expense Assumptions'!$C$66-'Operating Expense Assumptions'!$C$55)/52*(1+$E$1)</f>
        <v>9108.246923076922</v>
      </c>
      <c r="AW16" s="10">
        <f>('Operating Expense Assumptions'!$C$66-'Operating Expense Assumptions'!$C$55)/52*(1+$E$1)</f>
        <v>9108.246923076922</v>
      </c>
      <c r="AX16" s="10">
        <f>('Operating Expense Assumptions'!$C$66-'Operating Expense Assumptions'!$C$55)/52*(1+$E$1)</f>
        <v>9108.246923076922</v>
      </c>
      <c r="AY16" s="10">
        <f>('Operating Expense Assumptions'!$C$66-'Operating Expense Assumptions'!$C$55)/52*(1+$E$1)</f>
        <v>9108.246923076922</v>
      </c>
      <c r="AZ16" s="10">
        <f>('Operating Expense Assumptions'!$C$66-'Operating Expense Assumptions'!$C$55)/52*(1+$E$1)</f>
        <v>9108.246923076922</v>
      </c>
      <c r="BA16" s="10">
        <f>('Operating Expense Assumptions'!$C$66-'Operating Expense Assumptions'!$C$55)/52*(1+$E$1)</f>
        <v>9108.246923076922</v>
      </c>
      <c r="BB16" s="10">
        <f>('Operating Expense Assumptions'!$C$66-'Operating Expense Assumptions'!$C$55)/52*(1+$E$1)</f>
        <v>9108.246923076922</v>
      </c>
      <c r="BC16" s="50">
        <f t="shared" si="0"/>
        <v>473628.83999999991</v>
      </c>
    </row>
    <row r="17" spans="2:55" x14ac:dyDescent="0.25">
      <c r="B17" s="16" t="s">
        <v>135</v>
      </c>
      <c r="C17" s="32">
        <f>('Operating Expense Assumptions'!$C$90-'Operating Expense Assumptions'!$C$79)/52*(1+$E$1)</f>
        <v>1588.8461538461538</v>
      </c>
      <c r="D17" s="32">
        <f>('Operating Expense Assumptions'!$C$90-'Operating Expense Assumptions'!$C$79)/52*(1+$E$1)</f>
        <v>1588.8461538461538</v>
      </c>
      <c r="E17" s="32">
        <f>('Operating Expense Assumptions'!$C$90-'Operating Expense Assumptions'!$C$79)/52*(1+$E$1)</f>
        <v>1588.8461538461538</v>
      </c>
      <c r="F17" s="32">
        <f>('Operating Expense Assumptions'!$C$90-'Operating Expense Assumptions'!$C$79)/52*(1+$E$1)</f>
        <v>1588.8461538461538</v>
      </c>
      <c r="G17" s="32">
        <f>('Operating Expense Assumptions'!$C$90-'Operating Expense Assumptions'!$C$79)/52*(1+$E$1)</f>
        <v>1588.8461538461538</v>
      </c>
      <c r="H17" s="32">
        <f>('Operating Expense Assumptions'!$C$90-'Operating Expense Assumptions'!$C$79)/52*(1+$E$1)</f>
        <v>1588.8461538461538</v>
      </c>
      <c r="I17" s="32">
        <f>('Operating Expense Assumptions'!$C$90-'Operating Expense Assumptions'!$C$79)/52*(1+$E$1)</f>
        <v>1588.8461538461538</v>
      </c>
      <c r="J17" s="32">
        <f>('Operating Expense Assumptions'!$C$90-'Operating Expense Assumptions'!$C$79)/52*(1+$E$1)</f>
        <v>1588.8461538461538</v>
      </c>
      <c r="K17" s="32">
        <f>('Operating Expense Assumptions'!$C$90-'Operating Expense Assumptions'!$C$79)/52*(1+$E$1)</f>
        <v>1588.8461538461538</v>
      </c>
      <c r="L17" s="32">
        <f>('Operating Expense Assumptions'!$C$90-'Operating Expense Assumptions'!$C$79)/52*(1+$E$1)</f>
        <v>1588.8461538461538</v>
      </c>
      <c r="M17" s="32">
        <f>('Operating Expense Assumptions'!$C$90-'Operating Expense Assumptions'!$C$79)/52*(1+$E$1)</f>
        <v>1588.8461538461538</v>
      </c>
      <c r="N17" s="32">
        <f>('Operating Expense Assumptions'!$C$90-'Operating Expense Assumptions'!$C$79)/52*(1+$E$1)</f>
        <v>1588.8461538461538</v>
      </c>
      <c r="O17" s="32">
        <f>('Operating Expense Assumptions'!$C$90-'Operating Expense Assumptions'!$C$79)/52*(1+$E$1)</f>
        <v>1588.8461538461538</v>
      </c>
      <c r="P17" s="32">
        <f>('Operating Expense Assumptions'!$C$90-'Operating Expense Assumptions'!$C$79)/52*(1+$E$1)</f>
        <v>1588.8461538461538</v>
      </c>
      <c r="Q17" s="32">
        <f>('Operating Expense Assumptions'!$C$90-'Operating Expense Assumptions'!$C$79)/52*(1+$E$1)</f>
        <v>1588.8461538461538</v>
      </c>
      <c r="R17" s="32">
        <f>('Operating Expense Assumptions'!$C$90-'Operating Expense Assumptions'!$C$79)/52*(1+$E$1)</f>
        <v>1588.8461538461538</v>
      </c>
      <c r="S17" s="32">
        <f>('Operating Expense Assumptions'!$C$90-'Operating Expense Assumptions'!$C$79)/52*(1+$E$1)</f>
        <v>1588.8461538461538</v>
      </c>
      <c r="T17" s="32">
        <f>('Operating Expense Assumptions'!$C$90-'Operating Expense Assumptions'!$C$79)/52*(1+$E$1)</f>
        <v>1588.8461538461538</v>
      </c>
      <c r="U17" s="32">
        <f>('Operating Expense Assumptions'!$C$90-'Operating Expense Assumptions'!$C$79)/52*(1+$E$1)</f>
        <v>1588.8461538461538</v>
      </c>
      <c r="V17" s="32">
        <f>('Operating Expense Assumptions'!$C$90-'Operating Expense Assumptions'!$C$79)/52*(1+$E$1)</f>
        <v>1588.8461538461538</v>
      </c>
      <c r="W17" s="32">
        <f>('Operating Expense Assumptions'!$C$90-'Operating Expense Assumptions'!$C$79)/52*(1+$E$1)</f>
        <v>1588.8461538461538</v>
      </c>
      <c r="X17" s="32">
        <f>('Operating Expense Assumptions'!$C$90-'Operating Expense Assumptions'!$C$79)/52*(1+$E$1)</f>
        <v>1588.8461538461538</v>
      </c>
      <c r="Y17" s="32">
        <f>('Operating Expense Assumptions'!$C$90-'Operating Expense Assumptions'!$C$79)/52*(1+$E$1)</f>
        <v>1588.8461538461538</v>
      </c>
      <c r="Z17" s="32">
        <f>('Operating Expense Assumptions'!$C$90-'Operating Expense Assumptions'!$C$79)/52*(1+$E$1)</f>
        <v>1588.8461538461538</v>
      </c>
      <c r="AA17" s="32">
        <f>('Operating Expense Assumptions'!$C$90-'Operating Expense Assumptions'!$C$79)/52*(1+$E$1)</f>
        <v>1588.8461538461538</v>
      </c>
      <c r="AB17" s="32">
        <f>('Operating Expense Assumptions'!$C$90-'Operating Expense Assumptions'!$C$79)/52*(1+$E$1)</f>
        <v>1588.8461538461538</v>
      </c>
      <c r="AC17" s="32">
        <f>('Operating Expense Assumptions'!$C$90-'Operating Expense Assumptions'!$C$79)/52*(1+$E$1)</f>
        <v>1588.8461538461538</v>
      </c>
      <c r="AD17" s="32">
        <f>('Operating Expense Assumptions'!$C$90-'Operating Expense Assumptions'!$C$79)/52*(1+$E$1)</f>
        <v>1588.8461538461538</v>
      </c>
      <c r="AE17" s="32">
        <f>('Operating Expense Assumptions'!$C$90-'Operating Expense Assumptions'!$C$79)/52*(1+$E$1)</f>
        <v>1588.8461538461538</v>
      </c>
      <c r="AF17" s="32">
        <f>('Operating Expense Assumptions'!$C$90-'Operating Expense Assumptions'!$C$79)/52*(1+$E$1)</f>
        <v>1588.8461538461538</v>
      </c>
      <c r="AG17" s="32">
        <f>('Operating Expense Assumptions'!$C$90-'Operating Expense Assumptions'!$C$79)/52*(1+$E$1)</f>
        <v>1588.8461538461538</v>
      </c>
      <c r="AH17" s="32">
        <f>('Operating Expense Assumptions'!$C$90-'Operating Expense Assumptions'!$C$79)/52*(1+$E$1)</f>
        <v>1588.8461538461538</v>
      </c>
      <c r="AI17" s="32">
        <f>('Operating Expense Assumptions'!$C$90-'Operating Expense Assumptions'!$C$79)/52*(1+$E$1)</f>
        <v>1588.8461538461538</v>
      </c>
      <c r="AJ17" s="32">
        <f>('Operating Expense Assumptions'!$C$90-'Operating Expense Assumptions'!$C$79)/52*(1+$E$1)</f>
        <v>1588.8461538461538</v>
      </c>
      <c r="AK17" s="32">
        <f>('Operating Expense Assumptions'!$C$90-'Operating Expense Assumptions'!$C$79)/52*(1+$E$1)</f>
        <v>1588.8461538461538</v>
      </c>
      <c r="AL17" s="32">
        <f>('Operating Expense Assumptions'!$C$90-'Operating Expense Assumptions'!$C$79)/52*(1+$E$1)</f>
        <v>1588.8461538461538</v>
      </c>
      <c r="AM17" s="32">
        <f>('Operating Expense Assumptions'!$C$90-'Operating Expense Assumptions'!$C$79)/52*(1+$E$1)</f>
        <v>1588.8461538461538</v>
      </c>
      <c r="AN17" s="32">
        <f>('Operating Expense Assumptions'!$C$90-'Operating Expense Assumptions'!$C$79)/52*(1+$E$1)</f>
        <v>1588.8461538461538</v>
      </c>
      <c r="AO17" s="32">
        <f>('Operating Expense Assumptions'!$C$90-'Operating Expense Assumptions'!$C$79)/52*(1+$E$1)</f>
        <v>1588.8461538461538</v>
      </c>
      <c r="AP17" s="32">
        <f>('Operating Expense Assumptions'!$C$90-'Operating Expense Assumptions'!$C$79)/52*(1+$E$1)</f>
        <v>1588.8461538461538</v>
      </c>
      <c r="AQ17" s="32">
        <f>('Operating Expense Assumptions'!$C$90-'Operating Expense Assumptions'!$C$79)/52*(1+$E$1)</f>
        <v>1588.8461538461538</v>
      </c>
      <c r="AR17" s="32">
        <f>('Operating Expense Assumptions'!$C$90-'Operating Expense Assumptions'!$C$79)/52*(1+$E$1)</f>
        <v>1588.8461538461538</v>
      </c>
      <c r="AS17" s="32">
        <f>('Operating Expense Assumptions'!$C$90-'Operating Expense Assumptions'!$C$79)/52*(1+$E$1)</f>
        <v>1588.8461538461538</v>
      </c>
      <c r="AT17" s="32">
        <f>('Operating Expense Assumptions'!$C$90-'Operating Expense Assumptions'!$C$79)/52*(1+$E$1)</f>
        <v>1588.8461538461538</v>
      </c>
      <c r="AU17" s="32">
        <f>('Operating Expense Assumptions'!$C$90-'Operating Expense Assumptions'!$C$79)/52*(1+$E$1)</f>
        <v>1588.8461538461538</v>
      </c>
      <c r="AV17" s="32">
        <f>('Operating Expense Assumptions'!$C$90-'Operating Expense Assumptions'!$C$79)/52*(1+$E$1)</f>
        <v>1588.8461538461538</v>
      </c>
      <c r="AW17" s="32">
        <f>('Operating Expense Assumptions'!$C$90-'Operating Expense Assumptions'!$C$79)/52*(1+$E$1)</f>
        <v>1588.8461538461538</v>
      </c>
      <c r="AX17" s="32">
        <f>('Operating Expense Assumptions'!$C$90-'Operating Expense Assumptions'!$C$79)/52*(1+$E$1)</f>
        <v>1588.8461538461538</v>
      </c>
      <c r="AY17" s="32">
        <f>('Operating Expense Assumptions'!$C$90-'Operating Expense Assumptions'!$C$79)/52*(1+$E$1)</f>
        <v>1588.8461538461538</v>
      </c>
      <c r="AZ17" s="32">
        <f>('Operating Expense Assumptions'!$C$90-'Operating Expense Assumptions'!$C$79)/52*(1+$E$1)</f>
        <v>1588.8461538461538</v>
      </c>
      <c r="BA17" s="32">
        <f>('Operating Expense Assumptions'!$C$90-'Operating Expense Assumptions'!$C$79)/52*(1+$E$1)</f>
        <v>1588.8461538461538</v>
      </c>
      <c r="BB17" s="32">
        <f>('Operating Expense Assumptions'!$C$90-'Operating Expense Assumptions'!$C$79)/52*(1+$E$1)</f>
        <v>1588.8461538461538</v>
      </c>
      <c r="BC17" s="51">
        <f t="shared" si="0"/>
        <v>82620.000000000058</v>
      </c>
    </row>
    <row r="18" spans="2:55" x14ac:dyDescent="0.25">
      <c r="B18" s="61" t="s">
        <v>136</v>
      </c>
      <c r="C18" s="62">
        <f t="shared" ref="C18:BB18" si="3">SUM(C15:C17)</f>
        <v>22381.208769230769</v>
      </c>
      <c r="D18" s="62">
        <f t="shared" si="3"/>
        <v>22381.208769230769</v>
      </c>
      <c r="E18" s="62">
        <f t="shared" si="3"/>
        <v>22381.208769230769</v>
      </c>
      <c r="F18" s="62">
        <f t="shared" si="3"/>
        <v>22381.208769230769</v>
      </c>
      <c r="G18" s="62">
        <f t="shared" si="3"/>
        <v>22381.208769230769</v>
      </c>
      <c r="H18" s="62">
        <f t="shared" si="3"/>
        <v>22381.208769230769</v>
      </c>
      <c r="I18" s="62">
        <f t="shared" si="3"/>
        <v>22381.208769230769</v>
      </c>
      <c r="J18" s="62">
        <f t="shared" si="3"/>
        <v>22381.208769230769</v>
      </c>
      <c r="K18" s="62">
        <f t="shared" si="3"/>
        <v>22381.208769230769</v>
      </c>
      <c r="L18" s="62">
        <f t="shared" si="3"/>
        <v>22381.208769230769</v>
      </c>
      <c r="M18" s="62">
        <f t="shared" si="3"/>
        <v>22381.208769230769</v>
      </c>
      <c r="N18" s="62">
        <f t="shared" si="3"/>
        <v>22381.208769230769</v>
      </c>
      <c r="O18" s="62">
        <f t="shared" si="3"/>
        <v>22381.208769230769</v>
      </c>
      <c r="P18" s="62">
        <f t="shared" si="3"/>
        <v>22381.208769230769</v>
      </c>
      <c r="Q18" s="62">
        <f t="shared" si="3"/>
        <v>22381.208769230769</v>
      </c>
      <c r="R18" s="62">
        <f t="shared" si="3"/>
        <v>22381.208769230769</v>
      </c>
      <c r="S18" s="62">
        <f t="shared" si="3"/>
        <v>22381.208769230769</v>
      </c>
      <c r="T18" s="62">
        <f t="shared" si="3"/>
        <v>22381.208769230769</v>
      </c>
      <c r="U18" s="62">
        <f t="shared" si="3"/>
        <v>22381.208769230769</v>
      </c>
      <c r="V18" s="62">
        <f t="shared" si="3"/>
        <v>22381.208769230769</v>
      </c>
      <c r="W18" s="62">
        <f t="shared" si="3"/>
        <v>22381.208769230769</v>
      </c>
      <c r="X18" s="62">
        <f t="shared" si="3"/>
        <v>22381.208769230769</v>
      </c>
      <c r="Y18" s="62">
        <f t="shared" si="3"/>
        <v>22381.208769230769</v>
      </c>
      <c r="Z18" s="62">
        <f t="shared" si="3"/>
        <v>22381.208769230769</v>
      </c>
      <c r="AA18" s="62">
        <f t="shared" si="3"/>
        <v>22381.208769230769</v>
      </c>
      <c r="AB18" s="62">
        <f t="shared" si="3"/>
        <v>22381.208769230769</v>
      </c>
      <c r="AC18" s="62">
        <f t="shared" si="3"/>
        <v>22381.208769230769</v>
      </c>
      <c r="AD18" s="62">
        <f t="shared" si="3"/>
        <v>22381.208769230769</v>
      </c>
      <c r="AE18" s="62">
        <f t="shared" si="3"/>
        <v>22381.208769230769</v>
      </c>
      <c r="AF18" s="62">
        <f t="shared" si="3"/>
        <v>22381.208769230769</v>
      </c>
      <c r="AG18" s="62">
        <f t="shared" si="3"/>
        <v>22381.208769230769</v>
      </c>
      <c r="AH18" s="62">
        <f t="shared" si="3"/>
        <v>22381.208769230769</v>
      </c>
      <c r="AI18" s="62">
        <f t="shared" si="3"/>
        <v>22381.208769230769</v>
      </c>
      <c r="AJ18" s="62">
        <f t="shared" si="3"/>
        <v>22381.208769230769</v>
      </c>
      <c r="AK18" s="62">
        <f t="shared" si="3"/>
        <v>22381.208769230769</v>
      </c>
      <c r="AL18" s="62">
        <f t="shared" si="3"/>
        <v>22381.208769230769</v>
      </c>
      <c r="AM18" s="62">
        <f t="shared" si="3"/>
        <v>22381.208769230769</v>
      </c>
      <c r="AN18" s="62">
        <f t="shared" si="3"/>
        <v>22381.208769230769</v>
      </c>
      <c r="AO18" s="62">
        <f t="shared" si="3"/>
        <v>22381.208769230769</v>
      </c>
      <c r="AP18" s="62">
        <f t="shared" si="3"/>
        <v>22381.208769230769</v>
      </c>
      <c r="AQ18" s="62">
        <f t="shared" si="3"/>
        <v>22381.208769230769</v>
      </c>
      <c r="AR18" s="62">
        <f t="shared" si="3"/>
        <v>22381.208769230769</v>
      </c>
      <c r="AS18" s="62">
        <f t="shared" si="3"/>
        <v>22381.208769230769</v>
      </c>
      <c r="AT18" s="62">
        <f t="shared" si="3"/>
        <v>22381.208769230769</v>
      </c>
      <c r="AU18" s="62">
        <f t="shared" si="3"/>
        <v>22381.208769230769</v>
      </c>
      <c r="AV18" s="62">
        <f t="shared" si="3"/>
        <v>22381.208769230769</v>
      </c>
      <c r="AW18" s="62">
        <f t="shared" si="3"/>
        <v>22381.208769230769</v>
      </c>
      <c r="AX18" s="62">
        <f t="shared" si="3"/>
        <v>22381.208769230769</v>
      </c>
      <c r="AY18" s="62">
        <f t="shared" si="3"/>
        <v>22381.208769230769</v>
      </c>
      <c r="AZ18" s="62">
        <f t="shared" si="3"/>
        <v>22381.208769230769</v>
      </c>
      <c r="BA18" s="62">
        <f t="shared" si="3"/>
        <v>22381.208769230769</v>
      </c>
      <c r="BB18" s="62">
        <f t="shared" si="3"/>
        <v>22381.208769230769</v>
      </c>
      <c r="BC18" s="64">
        <f t="shared" si="0"/>
        <v>1163822.8559999999</v>
      </c>
    </row>
    <row r="19" spans="2:55" x14ac:dyDescent="0.25">
      <c r="B19" s="74" t="s">
        <v>375</v>
      </c>
      <c r="C19" s="75">
        <f>C18/C9</f>
        <v>0.78365576923076918</v>
      </c>
      <c r="D19" s="75">
        <f t="shared" ref="D19:BC19" si="4">D18/D9</f>
        <v>0.78365576923076918</v>
      </c>
      <c r="E19" s="75">
        <f t="shared" si="4"/>
        <v>0.78365576923076918</v>
      </c>
      <c r="F19" s="75">
        <f t="shared" si="4"/>
        <v>0.78365576923076918</v>
      </c>
      <c r="G19" s="75">
        <f t="shared" si="4"/>
        <v>0.78365576923076918</v>
      </c>
      <c r="H19" s="75">
        <f t="shared" si="4"/>
        <v>0.78365576923076918</v>
      </c>
      <c r="I19" s="75">
        <f t="shared" si="4"/>
        <v>0.78365576923076918</v>
      </c>
      <c r="J19" s="75">
        <f t="shared" si="4"/>
        <v>0.78365576923076918</v>
      </c>
      <c r="K19" s="75">
        <f t="shared" si="4"/>
        <v>0.78365576923076918</v>
      </c>
      <c r="L19" s="75">
        <f t="shared" si="4"/>
        <v>0.78365576923076918</v>
      </c>
      <c r="M19" s="75">
        <f t="shared" si="4"/>
        <v>0.78365576923076918</v>
      </c>
      <c r="N19" s="75">
        <f t="shared" si="4"/>
        <v>0.78365576923076918</v>
      </c>
      <c r="O19" s="75">
        <f t="shared" si="4"/>
        <v>0.78365576923076918</v>
      </c>
      <c r="P19" s="75">
        <f t="shared" si="4"/>
        <v>0.78365576923076918</v>
      </c>
      <c r="Q19" s="75">
        <f t="shared" si="4"/>
        <v>0.78365576923076918</v>
      </c>
      <c r="R19" s="75">
        <f t="shared" si="4"/>
        <v>0.78365576923076918</v>
      </c>
      <c r="S19" s="75">
        <f t="shared" si="4"/>
        <v>0.78365576923076918</v>
      </c>
      <c r="T19" s="75">
        <f t="shared" si="4"/>
        <v>0.78365576923076918</v>
      </c>
      <c r="U19" s="75">
        <f t="shared" si="4"/>
        <v>0.78365576923076918</v>
      </c>
      <c r="V19" s="75">
        <f t="shared" si="4"/>
        <v>0.78365576923076918</v>
      </c>
      <c r="W19" s="75">
        <f t="shared" si="4"/>
        <v>0.78365576923076918</v>
      </c>
      <c r="X19" s="75">
        <f t="shared" si="4"/>
        <v>0.78365576923076918</v>
      </c>
      <c r="Y19" s="75">
        <f t="shared" si="4"/>
        <v>0.78365576923076918</v>
      </c>
      <c r="Z19" s="75">
        <f t="shared" si="4"/>
        <v>0.78365576923076918</v>
      </c>
      <c r="AA19" s="75">
        <f t="shared" si="4"/>
        <v>0.78365576923076918</v>
      </c>
      <c r="AB19" s="75">
        <f t="shared" si="4"/>
        <v>0.78365576923076918</v>
      </c>
      <c r="AC19" s="75">
        <f t="shared" si="4"/>
        <v>0.78365576923076918</v>
      </c>
      <c r="AD19" s="75">
        <f t="shared" si="4"/>
        <v>0.78365576923076918</v>
      </c>
      <c r="AE19" s="75">
        <f t="shared" si="4"/>
        <v>0.78365576923076918</v>
      </c>
      <c r="AF19" s="75">
        <f t="shared" si="4"/>
        <v>0.78365576923076918</v>
      </c>
      <c r="AG19" s="75">
        <f t="shared" si="4"/>
        <v>0.78365576923076918</v>
      </c>
      <c r="AH19" s="75">
        <f t="shared" si="4"/>
        <v>0.78365576923076918</v>
      </c>
      <c r="AI19" s="75">
        <f t="shared" si="4"/>
        <v>0.78365576923076918</v>
      </c>
      <c r="AJ19" s="75">
        <f t="shared" si="4"/>
        <v>0.78365576923076918</v>
      </c>
      <c r="AK19" s="75">
        <f t="shared" si="4"/>
        <v>0.78365576923076918</v>
      </c>
      <c r="AL19" s="75">
        <f t="shared" si="4"/>
        <v>0.78365576923076918</v>
      </c>
      <c r="AM19" s="75">
        <f t="shared" si="4"/>
        <v>0.78365576923076918</v>
      </c>
      <c r="AN19" s="75">
        <f t="shared" si="4"/>
        <v>0.78365576923076918</v>
      </c>
      <c r="AO19" s="75">
        <f t="shared" si="4"/>
        <v>0.78365576923076918</v>
      </c>
      <c r="AP19" s="75">
        <f t="shared" si="4"/>
        <v>0.78365576923076918</v>
      </c>
      <c r="AQ19" s="75">
        <f t="shared" si="4"/>
        <v>0.78365576923076918</v>
      </c>
      <c r="AR19" s="75">
        <f t="shared" si="4"/>
        <v>0.78365576923076918</v>
      </c>
      <c r="AS19" s="75">
        <f t="shared" si="4"/>
        <v>0.78365576923076918</v>
      </c>
      <c r="AT19" s="75">
        <f t="shared" si="4"/>
        <v>0.78365576923076918</v>
      </c>
      <c r="AU19" s="75">
        <f t="shared" si="4"/>
        <v>0.78365576923076918</v>
      </c>
      <c r="AV19" s="75">
        <f t="shared" si="4"/>
        <v>0.78365576923076918</v>
      </c>
      <c r="AW19" s="75">
        <f t="shared" si="4"/>
        <v>0.78365576923076918</v>
      </c>
      <c r="AX19" s="75">
        <f t="shared" si="4"/>
        <v>0.78365576923076918</v>
      </c>
      <c r="AY19" s="75">
        <f t="shared" si="4"/>
        <v>0.78365576923076918</v>
      </c>
      <c r="AZ19" s="75">
        <f t="shared" si="4"/>
        <v>0.78365576923076918</v>
      </c>
      <c r="BA19" s="75">
        <f t="shared" si="4"/>
        <v>0.78365576923076918</v>
      </c>
      <c r="BB19" s="75">
        <f t="shared" si="4"/>
        <v>0.78365576923076918</v>
      </c>
      <c r="BC19" s="75">
        <f t="shared" si="4"/>
        <v>0.78365576923076918</v>
      </c>
    </row>
    <row r="20" spans="2:55" x14ac:dyDescent="0.25">
      <c r="BC20" s="8"/>
    </row>
    <row r="21" spans="2:55" ht="15.75" thickBot="1" x14ac:dyDescent="0.3">
      <c r="B21" s="29" t="s">
        <v>137</v>
      </c>
      <c r="C21" s="30">
        <f t="shared" ref="C21:BB21" si="5">C11-C18</f>
        <v>-13510.472769230772</v>
      </c>
      <c r="D21" s="30">
        <f t="shared" si="5"/>
        <v>-13510.472769230772</v>
      </c>
      <c r="E21" s="30">
        <f t="shared" si="5"/>
        <v>-13510.472769230772</v>
      </c>
      <c r="F21" s="30">
        <f t="shared" si="5"/>
        <v>-13510.472769230772</v>
      </c>
      <c r="G21" s="30">
        <f t="shared" si="5"/>
        <v>-13510.472769230772</v>
      </c>
      <c r="H21" s="30">
        <f t="shared" si="5"/>
        <v>-13510.472769230772</v>
      </c>
      <c r="I21" s="30">
        <f t="shared" si="5"/>
        <v>-13510.472769230772</v>
      </c>
      <c r="J21" s="30">
        <f t="shared" si="5"/>
        <v>-13510.472769230772</v>
      </c>
      <c r="K21" s="30">
        <f t="shared" si="5"/>
        <v>-13510.472769230772</v>
      </c>
      <c r="L21" s="30">
        <f t="shared" si="5"/>
        <v>-13510.472769230772</v>
      </c>
      <c r="M21" s="30">
        <f t="shared" si="5"/>
        <v>-13510.472769230772</v>
      </c>
      <c r="N21" s="30">
        <f t="shared" si="5"/>
        <v>-13510.472769230772</v>
      </c>
      <c r="O21" s="30">
        <f t="shared" si="5"/>
        <v>-13510.472769230772</v>
      </c>
      <c r="P21" s="30">
        <f t="shared" si="5"/>
        <v>-13510.472769230772</v>
      </c>
      <c r="Q21" s="30">
        <f t="shared" si="5"/>
        <v>-13510.472769230772</v>
      </c>
      <c r="R21" s="30">
        <f t="shared" si="5"/>
        <v>-13510.472769230772</v>
      </c>
      <c r="S21" s="30">
        <f t="shared" si="5"/>
        <v>-13510.472769230772</v>
      </c>
      <c r="T21" s="30">
        <f t="shared" si="5"/>
        <v>-13510.472769230772</v>
      </c>
      <c r="U21" s="30">
        <f t="shared" si="5"/>
        <v>-13510.472769230772</v>
      </c>
      <c r="V21" s="30">
        <f t="shared" si="5"/>
        <v>-13510.472769230772</v>
      </c>
      <c r="W21" s="30">
        <f t="shared" si="5"/>
        <v>-13510.472769230772</v>
      </c>
      <c r="X21" s="30">
        <f t="shared" si="5"/>
        <v>-13510.472769230772</v>
      </c>
      <c r="Y21" s="30">
        <f t="shared" si="5"/>
        <v>-13510.472769230772</v>
      </c>
      <c r="Z21" s="30">
        <f t="shared" si="5"/>
        <v>-13510.472769230772</v>
      </c>
      <c r="AA21" s="30">
        <f t="shared" si="5"/>
        <v>-13510.472769230772</v>
      </c>
      <c r="AB21" s="30">
        <f t="shared" si="5"/>
        <v>-13510.472769230772</v>
      </c>
      <c r="AC21" s="30">
        <f t="shared" si="5"/>
        <v>-13510.472769230772</v>
      </c>
      <c r="AD21" s="30">
        <f t="shared" si="5"/>
        <v>-13510.472769230772</v>
      </c>
      <c r="AE21" s="30">
        <f t="shared" si="5"/>
        <v>-13510.472769230772</v>
      </c>
      <c r="AF21" s="30">
        <f t="shared" si="5"/>
        <v>-13510.472769230772</v>
      </c>
      <c r="AG21" s="30">
        <f t="shared" si="5"/>
        <v>-13510.472769230772</v>
      </c>
      <c r="AH21" s="30">
        <f t="shared" si="5"/>
        <v>-13510.472769230772</v>
      </c>
      <c r="AI21" s="30">
        <f t="shared" si="5"/>
        <v>-13510.472769230772</v>
      </c>
      <c r="AJ21" s="30">
        <f t="shared" si="5"/>
        <v>-13510.472769230772</v>
      </c>
      <c r="AK21" s="30">
        <f t="shared" si="5"/>
        <v>-13510.472769230772</v>
      </c>
      <c r="AL21" s="30">
        <f t="shared" si="5"/>
        <v>-13510.472769230772</v>
      </c>
      <c r="AM21" s="30">
        <f t="shared" si="5"/>
        <v>-13510.472769230772</v>
      </c>
      <c r="AN21" s="30">
        <f t="shared" si="5"/>
        <v>-13510.472769230772</v>
      </c>
      <c r="AO21" s="30">
        <f t="shared" si="5"/>
        <v>-13510.472769230772</v>
      </c>
      <c r="AP21" s="30">
        <f t="shared" si="5"/>
        <v>-13510.472769230772</v>
      </c>
      <c r="AQ21" s="30">
        <f t="shared" si="5"/>
        <v>-13510.472769230772</v>
      </c>
      <c r="AR21" s="30">
        <f t="shared" si="5"/>
        <v>-13510.472769230772</v>
      </c>
      <c r="AS21" s="30">
        <f t="shared" si="5"/>
        <v>-13510.472769230772</v>
      </c>
      <c r="AT21" s="30">
        <f t="shared" si="5"/>
        <v>-13510.472769230772</v>
      </c>
      <c r="AU21" s="30">
        <f t="shared" si="5"/>
        <v>-13510.472769230772</v>
      </c>
      <c r="AV21" s="30">
        <f t="shared" si="5"/>
        <v>-13510.472769230772</v>
      </c>
      <c r="AW21" s="30">
        <f t="shared" si="5"/>
        <v>-13510.472769230772</v>
      </c>
      <c r="AX21" s="30">
        <f t="shared" si="5"/>
        <v>-13510.472769230772</v>
      </c>
      <c r="AY21" s="30">
        <f t="shared" si="5"/>
        <v>-13510.472769230772</v>
      </c>
      <c r="AZ21" s="30">
        <f t="shared" si="5"/>
        <v>-13510.472769230772</v>
      </c>
      <c r="BA21" s="30">
        <f t="shared" si="5"/>
        <v>-13510.472769230772</v>
      </c>
      <c r="BB21" s="30">
        <f t="shared" si="5"/>
        <v>-13510.472769230772</v>
      </c>
      <c r="BC21" s="52">
        <f t="shared" si="0"/>
        <v>-702544.58399999968</v>
      </c>
    </row>
    <row r="22" spans="2:55" ht="15.75" thickTop="1" x14ac:dyDescent="0.25">
      <c r="B22" s="2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53"/>
    </row>
    <row r="23" spans="2:55" x14ac:dyDescent="0.25">
      <c r="B23" s="25" t="s">
        <v>315</v>
      </c>
      <c r="C23" s="60">
        <f>(INDEX('Financing Assumptions'!$N$6:$W$6,MATCH(C6,'Financing Assumptions'!$N$4:$W$4,0)))/52</f>
        <v>0</v>
      </c>
      <c r="D23" s="60">
        <f>(INDEX('Financing Assumptions'!$N$6:$W$6,MATCH(D6,'Financing Assumptions'!$N$4:$W$4,0)))/52</f>
        <v>0</v>
      </c>
      <c r="E23" s="60">
        <f>(INDEX('Financing Assumptions'!$N$6:$W$6,MATCH(E6,'Financing Assumptions'!$N$4:$W$4,0)))/52</f>
        <v>0</v>
      </c>
      <c r="F23" s="60">
        <f>(INDEX('Financing Assumptions'!$N$6:$W$6,MATCH(F6,'Financing Assumptions'!$N$4:$W$4,0)))/52</f>
        <v>0</v>
      </c>
      <c r="G23" s="60">
        <f>(INDEX('Financing Assumptions'!$N$6:$W$6,MATCH(G6,'Financing Assumptions'!$N$4:$W$4,0)))/52</f>
        <v>0</v>
      </c>
      <c r="H23" s="60">
        <f>(INDEX('Financing Assumptions'!$N$6:$W$6,MATCH(H6,'Financing Assumptions'!$N$4:$W$4,0)))/52</f>
        <v>0</v>
      </c>
      <c r="I23" s="60">
        <f>(INDEX('Financing Assumptions'!$N$6:$W$6,MATCH(I6,'Financing Assumptions'!$N$4:$W$4,0)))/52</f>
        <v>0</v>
      </c>
      <c r="J23" s="60">
        <f>(INDEX('Financing Assumptions'!$N$6:$W$6,MATCH(J6,'Financing Assumptions'!$N$4:$W$4,0)))/52</f>
        <v>0</v>
      </c>
      <c r="K23" s="60">
        <f>(INDEX('Financing Assumptions'!$N$6:$W$6,MATCH(K6,'Financing Assumptions'!$N$4:$W$4,0)))/52</f>
        <v>0</v>
      </c>
      <c r="L23" s="60">
        <f>(INDEX('Financing Assumptions'!$N$6:$W$6,MATCH(L6,'Financing Assumptions'!$N$4:$W$4,0)))/52</f>
        <v>0</v>
      </c>
      <c r="M23" s="60">
        <f>(INDEX('Financing Assumptions'!$N$6:$W$6,MATCH(M6,'Financing Assumptions'!$N$4:$W$4,0)))/52</f>
        <v>0</v>
      </c>
      <c r="N23" s="60">
        <f>(INDEX('Financing Assumptions'!$N$6:$W$6,MATCH(N6,'Financing Assumptions'!$N$4:$W$4,0)))/52</f>
        <v>0</v>
      </c>
      <c r="O23" s="60">
        <f>(INDEX('Financing Assumptions'!$N$6:$W$6,MATCH(O6,'Financing Assumptions'!$N$4:$W$4,0)))/52</f>
        <v>0</v>
      </c>
      <c r="P23" s="60">
        <f>(INDEX('Financing Assumptions'!$N$6:$W$6,MATCH(P6,'Financing Assumptions'!$N$4:$W$4,0)))/52</f>
        <v>0</v>
      </c>
      <c r="Q23" s="60">
        <f>(INDEX('Financing Assumptions'!$N$6:$W$6,MATCH(Q6,'Financing Assumptions'!$N$4:$W$4,0)))/52</f>
        <v>0</v>
      </c>
      <c r="R23" s="60">
        <f>(INDEX('Financing Assumptions'!$N$6:$W$6,MATCH(R6,'Financing Assumptions'!$N$4:$W$4,0)))/52</f>
        <v>0</v>
      </c>
      <c r="S23" s="60">
        <f>(INDEX('Financing Assumptions'!$N$6:$W$6,MATCH(S6,'Financing Assumptions'!$N$4:$W$4,0)))/52</f>
        <v>0</v>
      </c>
      <c r="T23" s="60">
        <f>(INDEX('Financing Assumptions'!$N$6:$W$6,MATCH(T6,'Financing Assumptions'!$N$4:$W$4,0)))/52</f>
        <v>0</v>
      </c>
      <c r="U23" s="60">
        <f>(INDEX('Financing Assumptions'!$N$6:$W$6,MATCH(U6,'Financing Assumptions'!$N$4:$W$4,0)))/52</f>
        <v>0</v>
      </c>
      <c r="V23" s="60">
        <f>(INDEX('Financing Assumptions'!$N$6:$W$6,MATCH(V6,'Financing Assumptions'!$N$4:$W$4,0)))/52</f>
        <v>0</v>
      </c>
      <c r="W23" s="60">
        <f>(INDEX('Financing Assumptions'!$N$6:$W$6,MATCH(W6,'Financing Assumptions'!$N$4:$W$4,0)))/52</f>
        <v>0</v>
      </c>
      <c r="X23" s="60">
        <f>(INDEX('Financing Assumptions'!$N$6:$W$6,MATCH(X6,'Financing Assumptions'!$N$4:$W$4,0)))/52</f>
        <v>0</v>
      </c>
      <c r="Y23" s="60">
        <f>(INDEX('Financing Assumptions'!$N$6:$W$6,MATCH(Y6,'Financing Assumptions'!$N$4:$W$4,0)))/52</f>
        <v>0</v>
      </c>
      <c r="Z23" s="60">
        <f>(INDEX('Financing Assumptions'!$N$6:$W$6,MATCH(Z6,'Financing Assumptions'!$N$4:$W$4,0)))/52</f>
        <v>0</v>
      </c>
      <c r="AA23" s="60">
        <f>(INDEX('Financing Assumptions'!$N$6:$W$6,MATCH(AA6,'Financing Assumptions'!$N$4:$W$4,0)))/52</f>
        <v>0</v>
      </c>
      <c r="AB23" s="60">
        <f>(INDEX('Financing Assumptions'!$N$6:$W$6,MATCH(AB6,'Financing Assumptions'!$N$4:$W$4,0)))/52</f>
        <v>0</v>
      </c>
      <c r="AC23" s="60">
        <f>(INDEX('Financing Assumptions'!$N$6:$W$6,MATCH(AC6,'Financing Assumptions'!$N$4:$W$4,0)))/52</f>
        <v>0</v>
      </c>
      <c r="AD23" s="60">
        <f>(INDEX('Financing Assumptions'!$N$6:$W$6,MATCH(AD6,'Financing Assumptions'!$N$4:$W$4,0)))/52</f>
        <v>0</v>
      </c>
      <c r="AE23" s="60">
        <f>(INDEX('Financing Assumptions'!$N$6:$W$6,MATCH(AE6,'Financing Assumptions'!$N$4:$W$4,0)))/52</f>
        <v>0</v>
      </c>
      <c r="AF23" s="60">
        <f>(INDEX('Financing Assumptions'!$N$6:$W$6,MATCH(AF6,'Financing Assumptions'!$N$4:$W$4,0)))/52</f>
        <v>0</v>
      </c>
      <c r="AG23" s="60">
        <f>(INDEX('Financing Assumptions'!$N$6:$W$6,MATCH(AG6,'Financing Assumptions'!$N$4:$W$4,0)))/52</f>
        <v>0</v>
      </c>
      <c r="AH23" s="60">
        <f>(INDEX('Financing Assumptions'!$N$6:$W$6,MATCH(AH6,'Financing Assumptions'!$N$4:$W$4,0)))/52</f>
        <v>0</v>
      </c>
      <c r="AI23" s="60">
        <f>(INDEX('Financing Assumptions'!$N$6:$W$6,MATCH(AI6,'Financing Assumptions'!$N$4:$W$4,0)))/52</f>
        <v>0</v>
      </c>
      <c r="AJ23" s="60">
        <f>(INDEX('Financing Assumptions'!$N$6:$W$6,MATCH(AJ6,'Financing Assumptions'!$N$4:$W$4,0)))/52</f>
        <v>0</v>
      </c>
      <c r="AK23" s="60">
        <f>(INDEX('Financing Assumptions'!$N$6:$W$6,MATCH(AK6,'Financing Assumptions'!$N$4:$W$4,0)))/52</f>
        <v>0</v>
      </c>
      <c r="AL23" s="60">
        <f>(INDEX('Financing Assumptions'!$N$6:$W$6,MATCH(AL6,'Financing Assumptions'!$N$4:$W$4,0)))/52</f>
        <v>0</v>
      </c>
      <c r="AM23" s="60">
        <f>(INDEX('Financing Assumptions'!$N$6:$W$6,MATCH(AM6,'Financing Assumptions'!$N$4:$W$4,0)))/52</f>
        <v>0</v>
      </c>
      <c r="AN23" s="60">
        <f>(INDEX('Financing Assumptions'!$N$6:$W$6,MATCH(AN6,'Financing Assumptions'!$N$4:$W$4,0)))/52</f>
        <v>0</v>
      </c>
      <c r="AO23" s="60">
        <f>(INDEX('Financing Assumptions'!$N$6:$W$6,MATCH(AO6,'Financing Assumptions'!$N$4:$W$4,0)))/52</f>
        <v>0</v>
      </c>
      <c r="AP23" s="60">
        <f>(INDEX('Financing Assumptions'!$N$6:$W$6,MATCH(AP6,'Financing Assumptions'!$N$4:$W$4,0)))/52</f>
        <v>0</v>
      </c>
      <c r="AQ23" s="60">
        <f>(INDEX('Financing Assumptions'!$N$6:$W$6,MATCH(AQ6,'Financing Assumptions'!$N$4:$W$4,0)))/52</f>
        <v>0</v>
      </c>
      <c r="AR23" s="60">
        <f>(INDEX('Financing Assumptions'!$N$6:$W$6,MATCH(AR6,'Financing Assumptions'!$N$4:$W$4,0)))/52</f>
        <v>0</v>
      </c>
      <c r="AS23" s="60">
        <f>(INDEX('Financing Assumptions'!$N$6:$W$6,MATCH(AS6,'Financing Assumptions'!$N$4:$W$4,0)))/52</f>
        <v>0</v>
      </c>
      <c r="AT23" s="60">
        <f>(INDEX('Financing Assumptions'!$N$6:$W$6,MATCH(AT6,'Financing Assumptions'!$N$4:$W$4,0)))/52</f>
        <v>0</v>
      </c>
      <c r="AU23" s="60">
        <f>(INDEX('Financing Assumptions'!$N$6:$W$6,MATCH(AU6,'Financing Assumptions'!$N$4:$W$4,0)))/52</f>
        <v>0</v>
      </c>
      <c r="AV23" s="60">
        <f>(INDEX('Financing Assumptions'!$N$6:$W$6,MATCH(AV6,'Financing Assumptions'!$N$4:$W$4,0)))/52</f>
        <v>0</v>
      </c>
      <c r="AW23" s="60">
        <f>(INDEX('Financing Assumptions'!$N$6:$W$6,MATCH(AW6,'Financing Assumptions'!$N$4:$W$4,0)))/52</f>
        <v>0</v>
      </c>
      <c r="AX23" s="60">
        <f>(INDEX('Financing Assumptions'!$N$6:$W$6,MATCH(AX6,'Financing Assumptions'!$N$4:$W$4,0)))/52</f>
        <v>0</v>
      </c>
      <c r="AY23" s="60">
        <f>(INDEX('Financing Assumptions'!$N$6:$W$6,MATCH(AY6,'Financing Assumptions'!$N$4:$W$4,0)))/52</f>
        <v>0</v>
      </c>
      <c r="AZ23" s="60">
        <f>(INDEX('Financing Assumptions'!$N$6:$W$6,MATCH(AZ6,'Financing Assumptions'!$N$4:$W$4,0)))/52</f>
        <v>0</v>
      </c>
      <c r="BA23" s="60">
        <f>(INDEX('Financing Assumptions'!$N$6:$W$6,MATCH(BA6,'Financing Assumptions'!$N$4:$W$4,0)))/52</f>
        <v>0</v>
      </c>
      <c r="BB23" s="60">
        <f>(INDEX('Financing Assumptions'!$N$6:$W$6,MATCH(BB6,'Financing Assumptions'!$N$4:$W$4,0)))/52</f>
        <v>0</v>
      </c>
      <c r="BC23" s="65">
        <f>SUM(C23:BB23)</f>
        <v>0</v>
      </c>
    </row>
    <row r="24" spans="2:55" x14ac:dyDescent="0.25">
      <c r="B24" s="74" t="s">
        <v>446</v>
      </c>
      <c r="C24" s="60">
        <f>'Income Statement (Yr)'!$E$32/52</f>
        <v>0</v>
      </c>
      <c r="D24" s="60">
        <f>'Income Statement (Yr)'!$E$32/52</f>
        <v>0</v>
      </c>
      <c r="E24" s="60">
        <f>'Income Statement (Yr)'!$E$32/52</f>
        <v>0</v>
      </c>
      <c r="F24" s="60">
        <f>'Income Statement (Yr)'!$E$32/52</f>
        <v>0</v>
      </c>
      <c r="G24" s="60">
        <f>'Income Statement (Yr)'!$E$32/52</f>
        <v>0</v>
      </c>
      <c r="H24" s="60">
        <f>'Income Statement (Yr)'!$E$32/52</f>
        <v>0</v>
      </c>
      <c r="I24" s="60">
        <f>'Income Statement (Yr)'!$E$32/52</f>
        <v>0</v>
      </c>
      <c r="J24" s="60">
        <f>'Income Statement (Yr)'!$E$32/52</f>
        <v>0</v>
      </c>
      <c r="K24" s="60">
        <f>'Income Statement (Yr)'!$E$32/52</f>
        <v>0</v>
      </c>
      <c r="L24" s="60">
        <f>'Income Statement (Yr)'!$E$32/52</f>
        <v>0</v>
      </c>
      <c r="M24" s="60">
        <f>'Income Statement (Yr)'!$E$32/52</f>
        <v>0</v>
      </c>
      <c r="N24" s="60">
        <f>'Income Statement (Yr)'!$E$32/52</f>
        <v>0</v>
      </c>
      <c r="O24" s="60">
        <f>'Income Statement (Yr)'!$E$32/52</f>
        <v>0</v>
      </c>
      <c r="P24" s="60">
        <f>'Income Statement (Yr)'!$E$32/52</f>
        <v>0</v>
      </c>
      <c r="Q24" s="60">
        <f>'Income Statement (Yr)'!$E$32/52</f>
        <v>0</v>
      </c>
      <c r="R24" s="60">
        <f>'Income Statement (Yr)'!$E$32/52</f>
        <v>0</v>
      </c>
      <c r="S24" s="60">
        <f>'Income Statement (Yr)'!$E$32/52</f>
        <v>0</v>
      </c>
      <c r="T24" s="60">
        <f>'Income Statement (Yr)'!$E$32/52</f>
        <v>0</v>
      </c>
      <c r="U24" s="60">
        <f>'Income Statement (Yr)'!$E$32/52</f>
        <v>0</v>
      </c>
      <c r="V24" s="60">
        <f>'Income Statement (Yr)'!$E$32/52</f>
        <v>0</v>
      </c>
      <c r="W24" s="60">
        <f>'Income Statement (Yr)'!$E$32/52</f>
        <v>0</v>
      </c>
      <c r="X24" s="60">
        <f>'Income Statement (Yr)'!$E$32/52</f>
        <v>0</v>
      </c>
      <c r="Y24" s="60">
        <f>'Income Statement (Yr)'!$E$32/52</f>
        <v>0</v>
      </c>
      <c r="Z24" s="60">
        <f>'Income Statement (Yr)'!$E$32/52</f>
        <v>0</v>
      </c>
      <c r="AA24" s="60">
        <f>'Income Statement (Yr)'!$E$32/52</f>
        <v>0</v>
      </c>
      <c r="AB24" s="60">
        <f>'Income Statement (Yr)'!$E$32/52</f>
        <v>0</v>
      </c>
      <c r="AC24" s="60">
        <f>'Income Statement (Yr)'!$E$32/52</f>
        <v>0</v>
      </c>
      <c r="AD24" s="60">
        <f>'Income Statement (Yr)'!$E$32/52</f>
        <v>0</v>
      </c>
      <c r="AE24" s="60">
        <f>'Income Statement (Yr)'!$E$32/52</f>
        <v>0</v>
      </c>
      <c r="AF24" s="60">
        <f>'Income Statement (Yr)'!$E$32/52</f>
        <v>0</v>
      </c>
      <c r="AG24" s="60">
        <f>'Income Statement (Yr)'!$E$32/52</f>
        <v>0</v>
      </c>
      <c r="AH24" s="60">
        <f>'Income Statement (Yr)'!$E$32/52</f>
        <v>0</v>
      </c>
      <c r="AI24" s="60">
        <f>'Income Statement (Yr)'!$E$32/52</f>
        <v>0</v>
      </c>
      <c r="AJ24" s="60">
        <f>'Income Statement (Yr)'!$E$32/52</f>
        <v>0</v>
      </c>
      <c r="AK24" s="60">
        <f>'Income Statement (Yr)'!$E$32/52</f>
        <v>0</v>
      </c>
      <c r="AL24" s="60">
        <f>'Income Statement (Yr)'!$E$32/52</f>
        <v>0</v>
      </c>
      <c r="AM24" s="60">
        <f>'Income Statement (Yr)'!$E$32/52</f>
        <v>0</v>
      </c>
      <c r="AN24" s="60">
        <f>'Income Statement (Yr)'!$E$32/52</f>
        <v>0</v>
      </c>
      <c r="AO24" s="60">
        <f>'Income Statement (Yr)'!$E$32/52</f>
        <v>0</v>
      </c>
      <c r="AP24" s="60">
        <f>'Income Statement (Yr)'!$E$32/52</f>
        <v>0</v>
      </c>
      <c r="AQ24" s="60">
        <f>'Income Statement (Yr)'!$E$32/52</f>
        <v>0</v>
      </c>
      <c r="AR24" s="60">
        <f>'Income Statement (Yr)'!$E$32/52</f>
        <v>0</v>
      </c>
      <c r="AS24" s="60">
        <f>'Income Statement (Yr)'!$E$32/52</f>
        <v>0</v>
      </c>
      <c r="AT24" s="60">
        <f>'Income Statement (Yr)'!$E$32/52</f>
        <v>0</v>
      </c>
      <c r="AU24" s="60">
        <f>'Income Statement (Yr)'!$E$32/52</f>
        <v>0</v>
      </c>
      <c r="AV24" s="60">
        <f>'Income Statement (Yr)'!$E$32/52</f>
        <v>0</v>
      </c>
      <c r="AW24" s="60">
        <f>'Income Statement (Yr)'!$E$32/52</f>
        <v>0</v>
      </c>
      <c r="AX24" s="60">
        <f>'Income Statement (Yr)'!$E$32/52</f>
        <v>0</v>
      </c>
      <c r="AY24" s="60">
        <f>'Income Statement (Yr)'!$E$32/52</f>
        <v>0</v>
      </c>
      <c r="AZ24" s="60">
        <f>'Income Statement (Yr)'!$E$32/52</f>
        <v>0</v>
      </c>
      <c r="BA24" s="60">
        <f>'Income Statement (Yr)'!$E$32/52</f>
        <v>0</v>
      </c>
      <c r="BB24" s="60">
        <f>'Income Statement (Yr)'!$E$32/52</f>
        <v>0</v>
      </c>
      <c r="BC24" s="65">
        <f>SUM(C24:BB24)</f>
        <v>0</v>
      </c>
    </row>
    <row r="25" spans="2:55" x14ac:dyDescent="0.25">
      <c r="B25" s="16" t="s">
        <v>139</v>
      </c>
      <c r="C25" s="32">
        <f>'Operating Expense Assumptions'!$C$55/52</f>
        <v>192.30769230769232</v>
      </c>
      <c r="D25" s="32">
        <f>'Operating Expense Assumptions'!$C$55/52</f>
        <v>192.30769230769232</v>
      </c>
      <c r="E25" s="32">
        <f>'Operating Expense Assumptions'!$C$55/52</f>
        <v>192.30769230769232</v>
      </c>
      <c r="F25" s="32">
        <f>'Operating Expense Assumptions'!$C$55/52</f>
        <v>192.30769230769232</v>
      </c>
      <c r="G25" s="32">
        <f>'Operating Expense Assumptions'!$C$55/52</f>
        <v>192.30769230769232</v>
      </c>
      <c r="H25" s="32">
        <f>'Operating Expense Assumptions'!$C$55/52</f>
        <v>192.30769230769232</v>
      </c>
      <c r="I25" s="32">
        <f>'Operating Expense Assumptions'!$C$55/52</f>
        <v>192.30769230769232</v>
      </c>
      <c r="J25" s="32">
        <f>'Operating Expense Assumptions'!$C$55/52</f>
        <v>192.30769230769232</v>
      </c>
      <c r="K25" s="32">
        <f>'Operating Expense Assumptions'!$C$55/52</f>
        <v>192.30769230769232</v>
      </c>
      <c r="L25" s="32">
        <f>'Operating Expense Assumptions'!$C$55/52</f>
        <v>192.30769230769232</v>
      </c>
      <c r="M25" s="32">
        <f>'Operating Expense Assumptions'!$C$55/52</f>
        <v>192.30769230769232</v>
      </c>
      <c r="N25" s="32">
        <f>'Operating Expense Assumptions'!$C$55/52</f>
        <v>192.30769230769232</v>
      </c>
      <c r="O25" s="32">
        <f>'Operating Expense Assumptions'!$C$55/52</f>
        <v>192.30769230769232</v>
      </c>
      <c r="P25" s="32">
        <f>'Operating Expense Assumptions'!$C$55/52</f>
        <v>192.30769230769232</v>
      </c>
      <c r="Q25" s="32">
        <f>'Operating Expense Assumptions'!$C$55/52</f>
        <v>192.30769230769232</v>
      </c>
      <c r="R25" s="32">
        <f>'Operating Expense Assumptions'!$C$55/52</f>
        <v>192.30769230769232</v>
      </c>
      <c r="S25" s="32">
        <f>'Operating Expense Assumptions'!$C$55/52</f>
        <v>192.30769230769232</v>
      </c>
      <c r="T25" s="32">
        <f>'Operating Expense Assumptions'!$C$55/52</f>
        <v>192.30769230769232</v>
      </c>
      <c r="U25" s="32">
        <f>'Operating Expense Assumptions'!$C$55/52</f>
        <v>192.30769230769232</v>
      </c>
      <c r="V25" s="32">
        <f>'Operating Expense Assumptions'!$C$55/52</f>
        <v>192.30769230769232</v>
      </c>
      <c r="W25" s="32">
        <f>'Operating Expense Assumptions'!$C$55/52</f>
        <v>192.30769230769232</v>
      </c>
      <c r="X25" s="32">
        <f>'Operating Expense Assumptions'!$C$55/52</f>
        <v>192.30769230769232</v>
      </c>
      <c r="Y25" s="32">
        <f>'Operating Expense Assumptions'!$C$55/52</f>
        <v>192.30769230769232</v>
      </c>
      <c r="Z25" s="32">
        <f>'Operating Expense Assumptions'!$C$55/52</f>
        <v>192.30769230769232</v>
      </c>
      <c r="AA25" s="32">
        <f>'Operating Expense Assumptions'!$C$55/52</f>
        <v>192.30769230769232</v>
      </c>
      <c r="AB25" s="32">
        <f>'Operating Expense Assumptions'!$C$55/52</f>
        <v>192.30769230769232</v>
      </c>
      <c r="AC25" s="32">
        <f>'Operating Expense Assumptions'!$C$55/52</f>
        <v>192.30769230769232</v>
      </c>
      <c r="AD25" s="32">
        <f>'Operating Expense Assumptions'!$C$55/52</f>
        <v>192.30769230769232</v>
      </c>
      <c r="AE25" s="32">
        <f>'Operating Expense Assumptions'!$C$55/52</f>
        <v>192.30769230769232</v>
      </c>
      <c r="AF25" s="32">
        <f>'Operating Expense Assumptions'!$C$55/52</f>
        <v>192.30769230769232</v>
      </c>
      <c r="AG25" s="32">
        <f>'Operating Expense Assumptions'!$C$55/52</f>
        <v>192.30769230769232</v>
      </c>
      <c r="AH25" s="32">
        <f>'Operating Expense Assumptions'!$C$55/52</f>
        <v>192.30769230769232</v>
      </c>
      <c r="AI25" s="32">
        <f>'Operating Expense Assumptions'!$C$55/52</f>
        <v>192.30769230769232</v>
      </c>
      <c r="AJ25" s="32">
        <f>'Operating Expense Assumptions'!$C$55/52</f>
        <v>192.30769230769232</v>
      </c>
      <c r="AK25" s="32">
        <f>'Operating Expense Assumptions'!$C$55/52</f>
        <v>192.30769230769232</v>
      </c>
      <c r="AL25" s="32">
        <f>'Operating Expense Assumptions'!$C$55/52</f>
        <v>192.30769230769232</v>
      </c>
      <c r="AM25" s="32">
        <f>'Operating Expense Assumptions'!$C$55/52</f>
        <v>192.30769230769232</v>
      </c>
      <c r="AN25" s="32">
        <f>'Operating Expense Assumptions'!$C$55/52</f>
        <v>192.30769230769232</v>
      </c>
      <c r="AO25" s="32">
        <f>'Operating Expense Assumptions'!$C$55/52</f>
        <v>192.30769230769232</v>
      </c>
      <c r="AP25" s="32">
        <f>'Operating Expense Assumptions'!$C$55/52</f>
        <v>192.30769230769232</v>
      </c>
      <c r="AQ25" s="32">
        <f>'Operating Expense Assumptions'!$C$55/52</f>
        <v>192.30769230769232</v>
      </c>
      <c r="AR25" s="32">
        <f>'Operating Expense Assumptions'!$C$55/52</f>
        <v>192.30769230769232</v>
      </c>
      <c r="AS25" s="32">
        <f>'Operating Expense Assumptions'!$C$55/52</f>
        <v>192.30769230769232</v>
      </c>
      <c r="AT25" s="32">
        <f>'Operating Expense Assumptions'!$C$55/52</f>
        <v>192.30769230769232</v>
      </c>
      <c r="AU25" s="32">
        <f>'Operating Expense Assumptions'!$C$55/52</f>
        <v>192.30769230769232</v>
      </c>
      <c r="AV25" s="32">
        <f>'Operating Expense Assumptions'!$C$55/52</f>
        <v>192.30769230769232</v>
      </c>
      <c r="AW25" s="32">
        <f>'Operating Expense Assumptions'!$C$55/52</f>
        <v>192.30769230769232</v>
      </c>
      <c r="AX25" s="32">
        <f>'Operating Expense Assumptions'!$C$55/52</f>
        <v>192.30769230769232</v>
      </c>
      <c r="AY25" s="32">
        <f>'Operating Expense Assumptions'!$C$55/52</f>
        <v>192.30769230769232</v>
      </c>
      <c r="AZ25" s="32">
        <f>'Operating Expense Assumptions'!$C$55/52</f>
        <v>192.30769230769232</v>
      </c>
      <c r="BA25" s="32">
        <f>'Operating Expense Assumptions'!$C$55/52</f>
        <v>192.30769230769232</v>
      </c>
      <c r="BB25" s="32">
        <f>'Operating Expense Assumptions'!$C$55/52</f>
        <v>192.30769230769232</v>
      </c>
      <c r="BC25" s="51">
        <f t="shared" si="0"/>
        <v>9999.9999999999945</v>
      </c>
    </row>
    <row r="26" spans="2:55" ht="15.75" thickBot="1" x14ac:dyDescent="0.3">
      <c r="B26" s="19" t="s">
        <v>140</v>
      </c>
      <c r="C26" s="55">
        <f>C21-C25-C23-C24</f>
        <v>-13702.780461538463</v>
      </c>
      <c r="D26" s="55">
        <f t="shared" ref="D26:BB26" si="6">D21-D25-D23-D24</f>
        <v>-13702.780461538463</v>
      </c>
      <c r="E26" s="55">
        <f t="shared" si="6"/>
        <v>-13702.780461538463</v>
      </c>
      <c r="F26" s="55">
        <f t="shared" si="6"/>
        <v>-13702.780461538463</v>
      </c>
      <c r="G26" s="55">
        <f t="shared" si="6"/>
        <v>-13702.780461538463</v>
      </c>
      <c r="H26" s="55">
        <f t="shared" si="6"/>
        <v>-13702.780461538463</v>
      </c>
      <c r="I26" s="55">
        <f t="shared" si="6"/>
        <v>-13702.780461538463</v>
      </c>
      <c r="J26" s="55">
        <f t="shared" si="6"/>
        <v>-13702.780461538463</v>
      </c>
      <c r="K26" s="55">
        <f t="shared" si="6"/>
        <v>-13702.780461538463</v>
      </c>
      <c r="L26" s="55">
        <f t="shared" si="6"/>
        <v>-13702.780461538463</v>
      </c>
      <c r="M26" s="55">
        <f t="shared" si="6"/>
        <v>-13702.780461538463</v>
      </c>
      <c r="N26" s="55">
        <f t="shared" si="6"/>
        <v>-13702.780461538463</v>
      </c>
      <c r="O26" s="55">
        <f t="shared" si="6"/>
        <v>-13702.780461538463</v>
      </c>
      <c r="P26" s="55">
        <f t="shared" si="6"/>
        <v>-13702.780461538463</v>
      </c>
      <c r="Q26" s="55">
        <f t="shared" si="6"/>
        <v>-13702.780461538463</v>
      </c>
      <c r="R26" s="55">
        <f t="shared" si="6"/>
        <v>-13702.780461538463</v>
      </c>
      <c r="S26" s="55">
        <f t="shared" si="6"/>
        <v>-13702.780461538463</v>
      </c>
      <c r="T26" s="55">
        <f t="shared" si="6"/>
        <v>-13702.780461538463</v>
      </c>
      <c r="U26" s="55">
        <f t="shared" si="6"/>
        <v>-13702.780461538463</v>
      </c>
      <c r="V26" s="55">
        <f t="shared" si="6"/>
        <v>-13702.780461538463</v>
      </c>
      <c r="W26" s="55">
        <f t="shared" si="6"/>
        <v>-13702.780461538463</v>
      </c>
      <c r="X26" s="55">
        <f t="shared" si="6"/>
        <v>-13702.780461538463</v>
      </c>
      <c r="Y26" s="55">
        <f t="shared" si="6"/>
        <v>-13702.780461538463</v>
      </c>
      <c r="Z26" s="55">
        <f t="shared" si="6"/>
        <v>-13702.780461538463</v>
      </c>
      <c r="AA26" s="55">
        <f t="shared" si="6"/>
        <v>-13702.780461538463</v>
      </c>
      <c r="AB26" s="55">
        <f t="shared" si="6"/>
        <v>-13702.780461538463</v>
      </c>
      <c r="AC26" s="55">
        <f t="shared" si="6"/>
        <v>-13702.780461538463</v>
      </c>
      <c r="AD26" s="55">
        <f t="shared" si="6"/>
        <v>-13702.780461538463</v>
      </c>
      <c r="AE26" s="55">
        <f t="shared" si="6"/>
        <v>-13702.780461538463</v>
      </c>
      <c r="AF26" s="55">
        <f t="shared" si="6"/>
        <v>-13702.780461538463</v>
      </c>
      <c r="AG26" s="55">
        <f t="shared" si="6"/>
        <v>-13702.780461538463</v>
      </c>
      <c r="AH26" s="55">
        <f t="shared" si="6"/>
        <v>-13702.780461538463</v>
      </c>
      <c r="AI26" s="55">
        <f t="shared" si="6"/>
        <v>-13702.780461538463</v>
      </c>
      <c r="AJ26" s="55">
        <f t="shared" si="6"/>
        <v>-13702.780461538463</v>
      </c>
      <c r="AK26" s="55">
        <f t="shared" si="6"/>
        <v>-13702.780461538463</v>
      </c>
      <c r="AL26" s="55">
        <f t="shared" si="6"/>
        <v>-13702.780461538463</v>
      </c>
      <c r="AM26" s="55">
        <f t="shared" si="6"/>
        <v>-13702.780461538463</v>
      </c>
      <c r="AN26" s="55">
        <f t="shared" si="6"/>
        <v>-13702.780461538463</v>
      </c>
      <c r="AO26" s="55">
        <f t="shared" si="6"/>
        <v>-13702.780461538463</v>
      </c>
      <c r="AP26" s="55">
        <f t="shared" si="6"/>
        <v>-13702.780461538463</v>
      </c>
      <c r="AQ26" s="55">
        <f t="shared" si="6"/>
        <v>-13702.780461538463</v>
      </c>
      <c r="AR26" s="55">
        <f t="shared" si="6"/>
        <v>-13702.780461538463</v>
      </c>
      <c r="AS26" s="55">
        <f t="shared" si="6"/>
        <v>-13702.780461538463</v>
      </c>
      <c r="AT26" s="55">
        <f t="shared" si="6"/>
        <v>-13702.780461538463</v>
      </c>
      <c r="AU26" s="55">
        <f t="shared" si="6"/>
        <v>-13702.780461538463</v>
      </c>
      <c r="AV26" s="55">
        <f t="shared" si="6"/>
        <v>-13702.780461538463</v>
      </c>
      <c r="AW26" s="55">
        <f t="shared" si="6"/>
        <v>-13702.780461538463</v>
      </c>
      <c r="AX26" s="55">
        <f t="shared" si="6"/>
        <v>-13702.780461538463</v>
      </c>
      <c r="AY26" s="55">
        <f t="shared" si="6"/>
        <v>-13702.780461538463</v>
      </c>
      <c r="AZ26" s="55">
        <f t="shared" si="6"/>
        <v>-13702.780461538463</v>
      </c>
      <c r="BA26" s="55">
        <f t="shared" si="6"/>
        <v>-13702.780461538463</v>
      </c>
      <c r="BB26" s="55">
        <f t="shared" si="6"/>
        <v>-13702.780461538463</v>
      </c>
      <c r="BC26" s="66">
        <f>SUM(C26:BB26)</f>
        <v>-712544.58400000015</v>
      </c>
    </row>
    <row r="27" spans="2:55" ht="15.75" thickTop="1" x14ac:dyDescent="0.25"/>
    <row r="28" spans="2:55" x14ac:dyDescent="0.25">
      <c r="B28" s="46" t="s">
        <v>231</v>
      </c>
      <c r="C28" s="32">
        <f>C26*'Revenue Assumptions'!$F$4*-1</f>
        <v>0</v>
      </c>
      <c r="D28" s="32">
        <f>D26*'Revenue Assumptions'!$F$4*-1</f>
        <v>0</v>
      </c>
      <c r="E28" s="32">
        <f>E26*'Revenue Assumptions'!$F$4*-1</f>
        <v>0</v>
      </c>
      <c r="F28" s="32">
        <f>F26*'Revenue Assumptions'!$F$4*-1</f>
        <v>0</v>
      </c>
      <c r="G28" s="32">
        <f>G26*'Revenue Assumptions'!$F$4*-1</f>
        <v>0</v>
      </c>
      <c r="H28" s="32">
        <f>H26*'Revenue Assumptions'!$F$4*-1</f>
        <v>0</v>
      </c>
      <c r="I28" s="32">
        <f>I26*'Revenue Assumptions'!$F$4*-1</f>
        <v>0</v>
      </c>
      <c r="J28" s="32">
        <f>J26*'Revenue Assumptions'!$F$4*-1</f>
        <v>0</v>
      </c>
      <c r="K28" s="32">
        <f>K26*'Revenue Assumptions'!$F$4*-1</f>
        <v>0</v>
      </c>
      <c r="L28" s="32">
        <f>L26*'Revenue Assumptions'!$F$4*-1</f>
        <v>0</v>
      </c>
      <c r="M28" s="32">
        <f>M26*'Revenue Assumptions'!$F$4*-1</f>
        <v>0</v>
      </c>
      <c r="N28" s="32">
        <f>N26*'Revenue Assumptions'!$F$4*-1</f>
        <v>0</v>
      </c>
      <c r="O28" s="32">
        <f>O26*'Revenue Assumptions'!$F$4*-1</f>
        <v>0</v>
      </c>
      <c r="P28" s="32">
        <f>P26*'Revenue Assumptions'!$F$4*-1</f>
        <v>0</v>
      </c>
      <c r="Q28" s="32">
        <f>Q26*'Revenue Assumptions'!$F$4*-1</f>
        <v>0</v>
      </c>
      <c r="R28" s="32">
        <f>R26*'Revenue Assumptions'!$F$4*-1</f>
        <v>0</v>
      </c>
      <c r="S28" s="32">
        <f>S26*'Revenue Assumptions'!$F$4*-1</f>
        <v>0</v>
      </c>
      <c r="T28" s="32">
        <f>T26*'Revenue Assumptions'!$F$4*-1</f>
        <v>0</v>
      </c>
      <c r="U28" s="32">
        <f>U26*'Revenue Assumptions'!$F$4*-1</f>
        <v>0</v>
      </c>
      <c r="V28" s="32">
        <f>V26*'Revenue Assumptions'!$F$4*-1</f>
        <v>0</v>
      </c>
      <c r="W28" s="32">
        <f>W26*'Revenue Assumptions'!$F$4*-1</f>
        <v>0</v>
      </c>
      <c r="X28" s="32">
        <f>X26*'Revenue Assumptions'!$F$4*-1</f>
        <v>0</v>
      </c>
      <c r="Y28" s="32">
        <f>Y26*'Revenue Assumptions'!$F$4*-1</f>
        <v>0</v>
      </c>
      <c r="Z28" s="32">
        <f>Z26*'Revenue Assumptions'!$F$4*-1</f>
        <v>0</v>
      </c>
      <c r="AA28" s="32">
        <f>AA26*'Revenue Assumptions'!$F$4*-1</f>
        <v>0</v>
      </c>
      <c r="AB28" s="32">
        <f>AB26*'Revenue Assumptions'!$F$4*-1</f>
        <v>0</v>
      </c>
      <c r="AC28" s="32">
        <f>AC26*'Revenue Assumptions'!$F$4*-1</f>
        <v>0</v>
      </c>
      <c r="AD28" s="32">
        <f>AD26*'Revenue Assumptions'!$F$4*-1</f>
        <v>0</v>
      </c>
      <c r="AE28" s="32">
        <f>AE26*'Revenue Assumptions'!$F$4*-1</f>
        <v>0</v>
      </c>
      <c r="AF28" s="32">
        <f>AF26*'Revenue Assumptions'!$F$4*-1</f>
        <v>0</v>
      </c>
      <c r="AG28" s="32">
        <f>AG26*'Revenue Assumptions'!$F$4*-1</f>
        <v>0</v>
      </c>
      <c r="AH28" s="32">
        <f>AH26*'Revenue Assumptions'!$F$4*-1</f>
        <v>0</v>
      </c>
      <c r="AI28" s="32">
        <f>AI26*'Revenue Assumptions'!$F$4*-1</f>
        <v>0</v>
      </c>
      <c r="AJ28" s="32">
        <f>AJ26*'Revenue Assumptions'!$F$4*-1</f>
        <v>0</v>
      </c>
      <c r="AK28" s="32">
        <f>AK26*'Revenue Assumptions'!$F$4*-1</f>
        <v>0</v>
      </c>
      <c r="AL28" s="32">
        <f>AL26*'Revenue Assumptions'!$F$4*-1</f>
        <v>0</v>
      </c>
      <c r="AM28" s="32">
        <f>AM26*'Revenue Assumptions'!$F$4*-1</f>
        <v>0</v>
      </c>
      <c r="AN28" s="32">
        <f>AN26*'Revenue Assumptions'!$F$4*-1</f>
        <v>0</v>
      </c>
      <c r="AO28" s="32">
        <f>AO26*'Revenue Assumptions'!$F$4*-1</f>
        <v>0</v>
      </c>
      <c r="AP28" s="32">
        <f>AP26*'Revenue Assumptions'!$F$4*-1</f>
        <v>0</v>
      </c>
      <c r="AQ28" s="32">
        <f>AQ26*'Revenue Assumptions'!$F$4*-1</f>
        <v>0</v>
      </c>
      <c r="AR28" s="32">
        <f>AR26*'Revenue Assumptions'!$F$4*-1</f>
        <v>0</v>
      </c>
      <c r="AS28" s="32">
        <f>AS26*'Revenue Assumptions'!$F$4*-1</f>
        <v>0</v>
      </c>
      <c r="AT28" s="32">
        <f>AT26*'Revenue Assumptions'!$F$4*-1</f>
        <v>0</v>
      </c>
      <c r="AU28" s="32">
        <f>AU26*'Revenue Assumptions'!$F$4*-1</f>
        <v>0</v>
      </c>
      <c r="AV28" s="32">
        <f>AV26*'Revenue Assumptions'!$F$4*-1</f>
        <v>0</v>
      </c>
      <c r="AW28" s="32">
        <f>AW26*'Revenue Assumptions'!$F$4*-1</f>
        <v>0</v>
      </c>
      <c r="AX28" s="32">
        <f>AX26*'Revenue Assumptions'!$F$4*-1</f>
        <v>0</v>
      </c>
      <c r="AY28" s="32">
        <f>AY26*'Revenue Assumptions'!$F$4*-1</f>
        <v>0</v>
      </c>
      <c r="AZ28" s="32">
        <f>AZ26*'Revenue Assumptions'!$F$4*-1</f>
        <v>0</v>
      </c>
      <c r="BA28" s="32">
        <f>BA26*'Revenue Assumptions'!$F$4*-1</f>
        <v>0</v>
      </c>
      <c r="BB28" s="32">
        <f>BB26*'Revenue Assumptions'!$F$4*-1</f>
        <v>0</v>
      </c>
      <c r="BC28" s="51">
        <f t="shared" si="0"/>
        <v>0</v>
      </c>
    </row>
    <row r="29" spans="2:55" x14ac:dyDescent="0.25">
      <c r="BC29" s="8"/>
    </row>
    <row r="30" spans="2:55" ht="15.75" thickBot="1" x14ac:dyDescent="0.3">
      <c r="B30" s="29" t="s">
        <v>232</v>
      </c>
      <c r="C30" s="30">
        <f t="shared" ref="C30:BC30" si="7">C26+C28</f>
        <v>-13702.780461538463</v>
      </c>
      <c r="D30" s="30">
        <f t="shared" si="7"/>
        <v>-13702.780461538463</v>
      </c>
      <c r="E30" s="30">
        <f t="shared" si="7"/>
        <v>-13702.780461538463</v>
      </c>
      <c r="F30" s="30">
        <f t="shared" si="7"/>
        <v>-13702.780461538463</v>
      </c>
      <c r="G30" s="30">
        <f t="shared" si="7"/>
        <v>-13702.780461538463</v>
      </c>
      <c r="H30" s="30">
        <f t="shared" si="7"/>
        <v>-13702.780461538463</v>
      </c>
      <c r="I30" s="30">
        <f t="shared" si="7"/>
        <v>-13702.780461538463</v>
      </c>
      <c r="J30" s="30">
        <f t="shared" si="7"/>
        <v>-13702.780461538463</v>
      </c>
      <c r="K30" s="30">
        <f t="shared" si="7"/>
        <v>-13702.780461538463</v>
      </c>
      <c r="L30" s="30">
        <f t="shared" si="7"/>
        <v>-13702.780461538463</v>
      </c>
      <c r="M30" s="30">
        <f t="shared" si="7"/>
        <v>-13702.780461538463</v>
      </c>
      <c r="N30" s="30">
        <f t="shared" si="7"/>
        <v>-13702.780461538463</v>
      </c>
      <c r="O30" s="30">
        <f t="shared" si="7"/>
        <v>-13702.780461538463</v>
      </c>
      <c r="P30" s="30">
        <f t="shared" si="7"/>
        <v>-13702.780461538463</v>
      </c>
      <c r="Q30" s="30">
        <f t="shared" si="7"/>
        <v>-13702.780461538463</v>
      </c>
      <c r="R30" s="30">
        <f t="shared" si="7"/>
        <v>-13702.780461538463</v>
      </c>
      <c r="S30" s="30">
        <f t="shared" si="7"/>
        <v>-13702.780461538463</v>
      </c>
      <c r="T30" s="30">
        <f t="shared" si="7"/>
        <v>-13702.780461538463</v>
      </c>
      <c r="U30" s="30">
        <f t="shared" si="7"/>
        <v>-13702.780461538463</v>
      </c>
      <c r="V30" s="30">
        <f t="shared" si="7"/>
        <v>-13702.780461538463</v>
      </c>
      <c r="W30" s="30">
        <f t="shared" si="7"/>
        <v>-13702.780461538463</v>
      </c>
      <c r="X30" s="30">
        <f t="shared" si="7"/>
        <v>-13702.780461538463</v>
      </c>
      <c r="Y30" s="30">
        <f t="shared" si="7"/>
        <v>-13702.780461538463</v>
      </c>
      <c r="Z30" s="30">
        <f t="shared" si="7"/>
        <v>-13702.780461538463</v>
      </c>
      <c r="AA30" s="30">
        <f t="shared" si="7"/>
        <v>-13702.780461538463</v>
      </c>
      <c r="AB30" s="30">
        <f t="shared" si="7"/>
        <v>-13702.780461538463</v>
      </c>
      <c r="AC30" s="30">
        <f t="shared" si="7"/>
        <v>-13702.780461538463</v>
      </c>
      <c r="AD30" s="30">
        <f t="shared" si="7"/>
        <v>-13702.780461538463</v>
      </c>
      <c r="AE30" s="30">
        <f t="shared" si="7"/>
        <v>-13702.780461538463</v>
      </c>
      <c r="AF30" s="30">
        <f t="shared" si="7"/>
        <v>-13702.780461538463</v>
      </c>
      <c r="AG30" s="30">
        <f t="shared" si="7"/>
        <v>-13702.780461538463</v>
      </c>
      <c r="AH30" s="30">
        <f t="shared" si="7"/>
        <v>-13702.780461538463</v>
      </c>
      <c r="AI30" s="30">
        <f t="shared" si="7"/>
        <v>-13702.780461538463</v>
      </c>
      <c r="AJ30" s="30">
        <f t="shared" si="7"/>
        <v>-13702.780461538463</v>
      </c>
      <c r="AK30" s="30">
        <f t="shared" si="7"/>
        <v>-13702.780461538463</v>
      </c>
      <c r="AL30" s="30">
        <f t="shared" si="7"/>
        <v>-13702.780461538463</v>
      </c>
      <c r="AM30" s="30">
        <f t="shared" si="7"/>
        <v>-13702.780461538463</v>
      </c>
      <c r="AN30" s="30">
        <f t="shared" si="7"/>
        <v>-13702.780461538463</v>
      </c>
      <c r="AO30" s="30">
        <f t="shared" si="7"/>
        <v>-13702.780461538463</v>
      </c>
      <c r="AP30" s="30">
        <f t="shared" si="7"/>
        <v>-13702.780461538463</v>
      </c>
      <c r="AQ30" s="30">
        <f t="shared" si="7"/>
        <v>-13702.780461538463</v>
      </c>
      <c r="AR30" s="30">
        <f t="shared" si="7"/>
        <v>-13702.780461538463</v>
      </c>
      <c r="AS30" s="30">
        <f t="shared" si="7"/>
        <v>-13702.780461538463</v>
      </c>
      <c r="AT30" s="30">
        <f t="shared" si="7"/>
        <v>-13702.780461538463</v>
      </c>
      <c r="AU30" s="30">
        <f t="shared" si="7"/>
        <v>-13702.780461538463</v>
      </c>
      <c r="AV30" s="30">
        <f t="shared" si="7"/>
        <v>-13702.780461538463</v>
      </c>
      <c r="AW30" s="30">
        <f t="shared" si="7"/>
        <v>-13702.780461538463</v>
      </c>
      <c r="AX30" s="30">
        <f t="shared" si="7"/>
        <v>-13702.780461538463</v>
      </c>
      <c r="AY30" s="30">
        <f t="shared" si="7"/>
        <v>-13702.780461538463</v>
      </c>
      <c r="AZ30" s="30">
        <f t="shared" si="7"/>
        <v>-13702.780461538463</v>
      </c>
      <c r="BA30" s="30">
        <f t="shared" si="7"/>
        <v>-13702.780461538463</v>
      </c>
      <c r="BB30" s="30">
        <f t="shared" si="7"/>
        <v>-13702.780461538463</v>
      </c>
      <c r="BC30" s="52">
        <f t="shared" si="7"/>
        <v>-712544.58400000015</v>
      </c>
    </row>
    <row r="31" spans="2:55" ht="15.75" thickTop="1" x14ac:dyDescent="0.25">
      <c r="B31" s="74" t="s">
        <v>356</v>
      </c>
      <c r="C31" s="76">
        <f>C30/C9</f>
        <v>-0.47978923184658484</v>
      </c>
      <c r="D31" s="76">
        <f t="shared" ref="D31:BC31" si="8">D30/D9</f>
        <v>-0.47978923184658484</v>
      </c>
      <c r="E31" s="76">
        <f t="shared" si="8"/>
        <v>-0.47978923184658484</v>
      </c>
      <c r="F31" s="76">
        <f t="shared" si="8"/>
        <v>-0.47978923184658484</v>
      </c>
      <c r="G31" s="76">
        <f t="shared" si="8"/>
        <v>-0.47978923184658484</v>
      </c>
      <c r="H31" s="76">
        <f t="shared" si="8"/>
        <v>-0.47978923184658484</v>
      </c>
      <c r="I31" s="76">
        <f t="shared" si="8"/>
        <v>-0.47978923184658484</v>
      </c>
      <c r="J31" s="76">
        <f t="shared" si="8"/>
        <v>-0.47978923184658484</v>
      </c>
      <c r="K31" s="76">
        <f t="shared" si="8"/>
        <v>-0.47978923184658484</v>
      </c>
      <c r="L31" s="76">
        <f t="shared" si="8"/>
        <v>-0.47978923184658484</v>
      </c>
      <c r="M31" s="76">
        <f t="shared" si="8"/>
        <v>-0.47978923184658484</v>
      </c>
      <c r="N31" s="76">
        <f t="shared" si="8"/>
        <v>-0.47978923184658484</v>
      </c>
      <c r="O31" s="76">
        <f t="shared" si="8"/>
        <v>-0.47978923184658484</v>
      </c>
      <c r="P31" s="76">
        <f t="shared" si="8"/>
        <v>-0.47978923184658484</v>
      </c>
      <c r="Q31" s="76">
        <f t="shared" si="8"/>
        <v>-0.47978923184658484</v>
      </c>
      <c r="R31" s="76">
        <f t="shared" si="8"/>
        <v>-0.47978923184658484</v>
      </c>
      <c r="S31" s="76">
        <f t="shared" si="8"/>
        <v>-0.47978923184658484</v>
      </c>
      <c r="T31" s="76">
        <f t="shared" si="8"/>
        <v>-0.47978923184658484</v>
      </c>
      <c r="U31" s="76">
        <f t="shared" si="8"/>
        <v>-0.47978923184658484</v>
      </c>
      <c r="V31" s="76">
        <f t="shared" si="8"/>
        <v>-0.47978923184658484</v>
      </c>
      <c r="W31" s="76">
        <f t="shared" si="8"/>
        <v>-0.47978923184658484</v>
      </c>
      <c r="X31" s="76">
        <f t="shared" si="8"/>
        <v>-0.47978923184658484</v>
      </c>
      <c r="Y31" s="76">
        <f t="shared" si="8"/>
        <v>-0.47978923184658484</v>
      </c>
      <c r="Z31" s="76">
        <f t="shared" si="8"/>
        <v>-0.47978923184658484</v>
      </c>
      <c r="AA31" s="76">
        <f t="shared" si="8"/>
        <v>-0.47978923184658484</v>
      </c>
      <c r="AB31" s="76">
        <f t="shared" si="8"/>
        <v>-0.47978923184658484</v>
      </c>
      <c r="AC31" s="76">
        <f t="shared" si="8"/>
        <v>-0.47978923184658484</v>
      </c>
      <c r="AD31" s="76">
        <f t="shared" si="8"/>
        <v>-0.47978923184658484</v>
      </c>
      <c r="AE31" s="76">
        <f t="shared" si="8"/>
        <v>-0.47978923184658484</v>
      </c>
      <c r="AF31" s="76">
        <f t="shared" si="8"/>
        <v>-0.47978923184658484</v>
      </c>
      <c r="AG31" s="76">
        <f t="shared" si="8"/>
        <v>-0.47978923184658484</v>
      </c>
      <c r="AH31" s="76">
        <f t="shared" si="8"/>
        <v>-0.47978923184658484</v>
      </c>
      <c r="AI31" s="76">
        <f t="shared" si="8"/>
        <v>-0.47978923184658484</v>
      </c>
      <c r="AJ31" s="76">
        <f t="shared" si="8"/>
        <v>-0.47978923184658484</v>
      </c>
      <c r="AK31" s="76">
        <f t="shared" si="8"/>
        <v>-0.47978923184658484</v>
      </c>
      <c r="AL31" s="76">
        <f t="shared" si="8"/>
        <v>-0.47978923184658484</v>
      </c>
      <c r="AM31" s="76">
        <f t="shared" si="8"/>
        <v>-0.47978923184658484</v>
      </c>
      <c r="AN31" s="76">
        <f t="shared" si="8"/>
        <v>-0.47978923184658484</v>
      </c>
      <c r="AO31" s="76">
        <f t="shared" si="8"/>
        <v>-0.47978923184658484</v>
      </c>
      <c r="AP31" s="76">
        <f t="shared" si="8"/>
        <v>-0.47978923184658484</v>
      </c>
      <c r="AQ31" s="76">
        <f t="shared" si="8"/>
        <v>-0.47978923184658484</v>
      </c>
      <c r="AR31" s="76">
        <f t="shared" si="8"/>
        <v>-0.47978923184658484</v>
      </c>
      <c r="AS31" s="76">
        <f t="shared" si="8"/>
        <v>-0.47978923184658484</v>
      </c>
      <c r="AT31" s="76">
        <f t="shared" si="8"/>
        <v>-0.47978923184658484</v>
      </c>
      <c r="AU31" s="76">
        <f t="shared" si="8"/>
        <v>-0.47978923184658484</v>
      </c>
      <c r="AV31" s="76">
        <f t="shared" si="8"/>
        <v>-0.47978923184658484</v>
      </c>
      <c r="AW31" s="76">
        <f t="shared" si="8"/>
        <v>-0.47978923184658484</v>
      </c>
      <c r="AX31" s="76">
        <f t="shared" si="8"/>
        <v>-0.47978923184658484</v>
      </c>
      <c r="AY31" s="76">
        <f t="shared" si="8"/>
        <v>-0.47978923184658484</v>
      </c>
      <c r="AZ31" s="76">
        <f t="shared" si="8"/>
        <v>-0.47978923184658484</v>
      </c>
      <c r="BA31" s="76">
        <f t="shared" si="8"/>
        <v>-0.47978923184658484</v>
      </c>
      <c r="BB31" s="76">
        <f t="shared" si="8"/>
        <v>-0.47978923184658484</v>
      </c>
      <c r="BC31" s="76">
        <f t="shared" si="8"/>
        <v>-0.4797892318465849</v>
      </c>
    </row>
  </sheetData>
  <pageMargins left="0.7" right="0.7" top="0.75" bottom="0.75" header="0.3" footer="0.3"/>
  <pageSetup orientation="portrait" r:id="rId1"/>
  <headerFooter>
    <oddFooter>&amp;R&amp;8Created by: Fair Food Network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A6D7-94B8-48B3-B214-DAD039C1A259}">
  <dimension ref="B1:M27"/>
  <sheetViews>
    <sheetView workbookViewId="0">
      <selection activeCell="D11" sqref="D11"/>
    </sheetView>
  </sheetViews>
  <sheetFormatPr defaultColWidth="8.85546875" defaultRowHeight="15" x14ac:dyDescent="0.25"/>
  <cols>
    <col min="1" max="1" width="3.42578125" customWidth="1"/>
    <col min="2" max="2" width="26.140625" customWidth="1"/>
    <col min="3" max="13" width="15.42578125" customWidth="1"/>
  </cols>
  <sheetData>
    <row r="1" spans="2:13" x14ac:dyDescent="0.25">
      <c r="B1" s="1" t="s">
        <v>141</v>
      </c>
    </row>
    <row r="3" spans="2:13" x14ac:dyDescent="0.25">
      <c r="C3" t="s">
        <v>126</v>
      </c>
      <c r="D3" t="s">
        <v>115</v>
      </c>
      <c r="E3" t="s">
        <v>116</v>
      </c>
      <c r="F3" t="s">
        <v>117</v>
      </c>
      <c r="G3" t="s">
        <v>118</v>
      </c>
      <c r="H3" t="s">
        <v>119</v>
      </c>
      <c r="I3" t="s">
        <v>120</v>
      </c>
      <c r="J3" t="s">
        <v>121</v>
      </c>
      <c r="K3" t="s">
        <v>122</v>
      </c>
      <c r="L3" t="s">
        <v>123</v>
      </c>
      <c r="M3" t="s">
        <v>124</v>
      </c>
    </row>
    <row r="5" spans="2:13" x14ac:dyDescent="0.25">
      <c r="B5" s="8" t="s">
        <v>142</v>
      </c>
    </row>
    <row r="6" spans="2:13" x14ac:dyDescent="0.25">
      <c r="B6" t="s">
        <v>143</v>
      </c>
      <c r="C6" s="10">
        <f>'Financing Assumptions'!C53-'Start-Up Expense Assumptions'!C64-'Start-Up Expense Assumptions'!C98-'Start-Up Expense Assumptions'!C145-'Start-Up Expense Assumptions'!C16-'Start-Up Expense Assumptions'!C148-'Start-Up Expense Assumptions'!C199-'Start-Up Expense Assumptions'!C125</f>
        <v>-1092294.1769230771</v>
      </c>
      <c r="D6" s="10">
        <f>C6</f>
        <v>-1092294.1769230771</v>
      </c>
    </row>
    <row r="7" spans="2:13" x14ac:dyDescent="0.25">
      <c r="B7" t="s">
        <v>144</v>
      </c>
    </row>
    <row r="8" spans="2:13" x14ac:dyDescent="0.25">
      <c r="B8" t="s">
        <v>145</v>
      </c>
      <c r="C8" s="10">
        <f>'Start-Up Expense Assumptions'!C9+'Start-Up Expense Assumptions'!C10</f>
        <v>422584</v>
      </c>
      <c r="D8" s="10">
        <f>C8</f>
        <v>422584</v>
      </c>
      <c r="E8" s="23">
        <f>D8*(1+'Income Statement (Yr)'!$C$6)</f>
        <v>431035.68</v>
      </c>
      <c r="F8" s="23">
        <f>E8*(1+'Income Statement (Yr)'!$C$6)</f>
        <v>439656.39360000001</v>
      </c>
      <c r="G8" s="23">
        <f>F8*(1+'Income Statement (Yr)'!$C$6)</f>
        <v>448449.52147199999</v>
      </c>
      <c r="H8" s="23">
        <f>G8*(1+'Income Statement (Yr)'!$C$6)</f>
        <v>457418.51190143998</v>
      </c>
      <c r="I8" s="23">
        <f>H8*(1+'Income Statement (Yr)'!$C$6)</f>
        <v>466566.8821394688</v>
      </c>
      <c r="J8" s="23">
        <f>I8*(1+'Income Statement (Yr)'!$C$6)</f>
        <v>475898.21978225821</v>
      </c>
      <c r="K8" s="23">
        <f>J8*(1+'Income Statement (Yr)'!$C$6)</f>
        <v>485416.1841779034</v>
      </c>
      <c r="L8" s="23">
        <f>K8*(1+'Income Statement (Yr)'!$C$6)</f>
        <v>495124.50786146149</v>
      </c>
      <c r="M8" s="23">
        <f>L8*(1+'Income Statement (Yr)'!$C$6)</f>
        <v>505026.99801869073</v>
      </c>
    </row>
    <row r="9" spans="2:13" x14ac:dyDescent="0.25">
      <c r="C9" s="10"/>
    </row>
    <row r="10" spans="2:13" x14ac:dyDescent="0.25">
      <c r="B10" t="s">
        <v>228</v>
      </c>
      <c r="C10" s="10"/>
    </row>
    <row r="11" spans="2:13" x14ac:dyDescent="0.25">
      <c r="B11" t="s">
        <v>146</v>
      </c>
      <c r="C11" s="10">
        <f>'Start-Up Expense Assumptions'!C64</f>
        <v>0</v>
      </c>
    </row>
    <row r="12" spans="2:13" x14ac:dyDescent="0.25">
      <c r="B12" t="s">
        <v>147</v>
      </c>
      <c r="C12" s="10">
        <f>'Start-Up Expense Assumptions'!$C$98</f>
        <v>250000</v>
      </c>
      <c r="D12" s="10">
        <f>'Start-Up Expense Assumptions'!$C$98</f>
        <v>250000</v>
      </c>
      <c r="E12" s="10">
        <f>'Start-Up Expense Assumptions'!$C$98</f>
        <v>250000</v>
      </c>
      <c r="F12" s="10">
        <f>'Start-Up Expense Assumptions'!$C$98</f>
        <v>250000</v>
      </c>
      <c r="G12" s="10">
        <f>'Start-Up Expense Assumptions'!$C$98</f>
        <v>250000</v>
      </c>
      <c r="H12" s="10">
        <f>'Start-Up Expense Assumptions'!$C$98</f>
        <v>250000</v>
      </c>
      <c r="I12" s="10">
        <f>'Start-Up Expense Assumptions'!$C$98</f>
        <v>250000</v>
      </c>
      <c r="J12" s="10">
        <f>'Start-Up Expense Assumptions'!$C$98</f>
        <v>250000</v>
      </c>
      <c r="K12" s="10">
        <f>'Start-Up Expense Assumptions'!$C$98</f>
        <v>250000</v>
      </c>
      <c r="L12" s="10">
        <f>'Start-Up Expense Assumptions'!$C$98</f>
        <v>250000</v>
      </c>
      <c r="M12" s="10">
        <f>'Start-Up Expense Assumptions'!$C$98</f>
        <v>250000</v>
      </c>
    </row>
    <row r="13" spans="2:13" x14ac:dyDescent="0.25">
      <c r="B13" t="s">
        <v>148</v>
      </c>
      <c r="C13" s="23">
        <f>SUM(C6:C12)</f>
        <v>-419710.17692307709</v>
      </c>
      <c r="D13" s="23">
        <f t="shared" ref="D13:M13" si="0">SUM(D6:D12)</f>
        <v>-419710.17692307709</v>
      </c>
      <c r="E13" s="23">
        <f t="shared" si="0"/>
        <v>681035.67999999993</v>
      </c>
      <c r="F13" s="23">
        <f t="shared" si="0"/>
        <v>689656.39360000007</v>
      </c>
      <c r="G13" s="23">
        <f t="shared" si="0"/>
        <v>698449.52147200005</v>
      </c>
      <c r="H13" s="23">
        <f t="shared" si="0"/>
        <v>707418.51190143998</v>
      </c>
      <c r="I13" s="23">
        <f t="shared" si="0"/>
        <v>716566.8821394688</v>
      </c>
      <c r="J13" s="23">
        <f t="shared" si="0"/>
        <v>725898.21978225815</v>
      </c>
      <c r="K13" s="23">
        <f t="shared" si="0"/>
        <v>735416.18417790346</v>
      </c>
      <c r="L13" s="23">
        <f t="shared" si="0"/>
        <v>745124.50786146149</v>
      </c>
      <c r="M13" s="23">
        <f t="shared" si="0"/>
        <v>755026.99801869073</v>
      </c>
    </row>
    <row r="15" spans="2:13" x14ac:dyDescent="0.25">
      <c r="B15" s="8" t="s">
        <v>149</v>
      </c>
    </row>
    <row r="16" spans="2:13" x14ac:dyDescent="0.25">
      <c r="B16" t="s">
        <v>150</v>
      </c>
    </row>
    <row r="18" spans="2:4" x14ac:dyDescent="0.25">
      <c r="B18" t="s">
        <v>151</v>
      </c>
      <c r="C18" s="10">
        <f>'Financing Assumptions'!C19</f>
        <v>0</v>
      </c>
    </row>
    <row r="19" spans="2:4" x14ac:dyDescent="0.25">
      <c r="B19" t="s">
        <v>100</v>
      </c>
      <c r="C19" s="10">
        <f>'Financing Assumptions'!C50+'Financing Assumptions'!C34-'Start-Up Expense Assumptions'!C199-'Start-Up Expense Assumptions'!C148-'Start-Up Expense Assumptions'!C145-'Start-Up Expense Assumptions'!C125</f>
        <v>-419710.17692307691</v>
      </c>
    </row>
    <row r="20" spans="2:4" x14ac:dyDescent="0.25">
      <c r="B20" t="s">
        <v>152</v>
      </c>
      <c r="C20" s="10">
        <f>SUM(C18:C19,C16)</f>
        <v>-419710.17692307691</v>
      </c>
    </row>
    <row r="22" spans="2:4" x14ac:dyDescent="0.25">
      <c r="B22" s="1" t="s">
        <v>297</v>
      </c>
    </row>
    <row r="23" spans="2:4" x14ac:dyDescent="0.25">
      <c r="C23" s="10"/>
    </row>
    <row r="24" spans="2:4" x14ac:dyDescent="0.25">
      <c r="B24" t="s">
        <v>232</v>
      </c>
      <c r="D24" s="10">
        <f>'Income Statement (Yr)'!D39</f>
        <v>-706596.31999999913</v>
      </c>
    </row>
    <row r="26" spans="2:4" x14ac:dyDescent="0.25">
      <c r="B26" s="54" t="s">
        <v>298</v>
      </c>
      <c r="D26" s="10">
        <f>'Income Statement (Yr)'!D33</f>
        <v>10000</v>
      </c>
    </row>
    <row r="27" spans="2:4" x14ac:dyDescent="0.25">
      <c r="B27" s="54" t="s">
        <v>299</v>
      </c>
      <c r="D27" s="10">
        <f>D8-E8+D7-E7+D6-E6-D16+E16</f>
        <v>-1100745.856923077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135D-E82B-4780-A9C2-2452D7C1C026}">
  <sheetPr>
    <tabColor theme="7"/>
  </sheetPr>
  <dimension ref="A1:F9"/>
  <sheetViews>
    <sheetView workbookViewId="0">
      <selection activeCell="C3" sqref="C3"/>
    </sheetView>
  </sheetViews>
  <sheetFormatPr defaultColWidth="8.85546875" defaultRowHeight="15" x14ac:dyDescent="0.25"/>
  <cols>
    <col min="1" max="1" width="2.85546875" customWidth="1"/>
    <col min="2" max="2" width="44.140625" bestFit="1" customWidth="1"/>
    <col min="3" max="3" width="29.85546875" customWidth="1"/>
    <col min="4" max="4" width="25.42578125" customWidth="1"/>
    <col min="5" max="5" width="30.140625" bestFit="1" customWidth="1"/>
    <col min="6" max="6" width="27.42578125" bestFit="1" customWidth="1"/>
    <col min="7" max="8" width="23.42578125" bestFit="1" customWidth="1"/>
    <col min="9" max="9" width="20.85546875" bestFit="1" customWidth="1"/>
    <col min="10" max="10" width="15.42578125" bestFit="1" customWidth="1"/>
    <col min="11" max="11" width="12.140625" bestFit="1" customWidth="1"/>
    <col min="12" max="12" width="11.140625" bestFit="1" customWidth="1"/>
    <col min="13" max="17" width="12.140625" bestFit="1" customWidth="1"/>
    <col min="18" max="18" width="11.140625" bestFit="1" customWidth="1"/>
    <col min="19" max="21" width="12.140625" bestFit="1" customWidth="1"/>
    <col min="22" max="23" width="11.140625" bestFit="1" customWidth="1"/>
  </cols>
  <sheetData>
    <row r="1" spans="1:6" x14ac:dyDescent="0.25">
      <c r="A1" t="s">
        <v>21</v>
      </c>
      <c r="B1" s="96" t="s">
        <v>153</v>
      </c>
      <c r="C1" s="96"/>
      <c r="D1" s="96"/>
      <c r="E1" s="96"/>
      <c r="F1" s="96"/>
    </row>
    <row r="3" spans="1:6" x14ac:dyDescent="0.25">
      <c r="B3" s="2" t="s">
        <v>154</v>
      </c>
      <c r="C3" s="5">
        <v>0</v>
      </c>
      <c r="D3" t="s">
        <v>464</v>
      </c>
    </row>
    <row r="4" spans="1:6" x14ac:dyDescent="0.25">
      <c r="B4" s="2" t="s">
        <v>155</v>
      </c>
      <c r="C4" s="11">
        <v>0</v>
      </c>
    </row>
    <row r="5" spans="1:6" x14ac:dyDescent="0.25">
      <c r="B5" s="2" t="s">
        <v>227</v>
      </c>
      <c r="C5" s="44">
        <v>8000</v>
      </c>
    </row>
    <row r="7" spans="1:6" x14ac:dyDescent="0.25">
      <c r="B7" t="s">
        <v>382</v>
      </c>
      <c r="C7" s="11">
        <v>0</v>
      </c>
    </row>
    <row r="8" spans="1:6" x14ac:dyDescent="0.25">
      <c r="B8" t="s">
        <v>384</v>
      </c>
      <c r="C8" s="82">
        <v>0</v>
      </c>
    </row>
    <row r="9" spans="1:6" x14ac:dyDescent="0.25">
      <c r="B9" t="s">
        <v>383</v>
      </c>
      <c r="C9" s="83">
        <f>C8*C7</f>
        <v>0</v>
      </c>
    </row>
  </sheetData>
  <mergeCells count="1">
    <mergeCell ref="B1:F1"/>
  </mergeCells>
  <pageMargins left="0.7" right="0.7" top="0.75" bottom="0.75" header="0.3" footer="0.3"/>
  <pageSetup orientation="portrait" horizontalDpi="4294967293" verticalDpi="4294967293" r:id="rId1"/>
  <headerFooter>
    <oddFooter>&amp;R&amp;8Created by: Fair Food Network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CDA0D-EAC9-4229-BC60-208686C69580}">
  <sheetPr>
    <tabColor theme="7"/>
  </sheetPr>
  <dimension ref="A1:F47"/>
  <sheetViews>
    <sheetView workbookViewId="0">
      <selection activeCell="C29" sqref="C29"/>
    </sheetView>
  </sheetViews>
  <sheetFormatPr defaultColWidth="8.85546875" defaultRowHeight="15" x14ac:dyDescent="0.25"/>
  <cols>
    <col min="1" max="1" width="2.85546875" customWidth="1"/>
    <col min="2" max="2" width="44.140625" bestFit="1" customWidth="1"/>
    <col min="3" max="3" width="29.85546875" customWidth="1"/>
    <col min="4" max="4" width="25.42578125" customWidth="1"/>
    <col min="5" max="5" width="30.140625" bestFit="1" customWidth="1"/>
    <col min="6" max="6" width="27.42578125" bestFit="1" customWidth="1"/>
    <col min="7" max="8" width="23.42578125" bestFit="1" customWidth="1"/>
    <col min="9" max="9" width="20.85546875" bestFit="1" customWidth="1"/>
    <col min="10" max="10" width="15.42578125" bestFit="1" customWidth="1"/>
    <col min="11" max="11" width="12.140625" bestFit="1" customWidth="1"/>
    <col min="12" max="12" width="11.140625" bestFit="1" customWidth="1"/>
    <col min="13" max="17" width="12.140625" bestFit="1" customWidth="1"/>
    <col min="18" max="18" width="11.140625" bestFit="1" customWidth="1"/>
    <col min="19" max="21" width="12.140625" bestFit="1" customWidth="1"/>
    <col min="22" max="23" width="11.140625" bestFit="1" customWidth="1"/>
  </cols>
  <sheetData>
    <row r="1" spans="1:6" x14ac:dyDescent="0.25">
      <c r="A1" t="s">
        <v>21</v>
      </c>
      <c r="B1" s="96" t="s">
        <v>0</v>
      </c>
      <c r="C1" s="96"/>
      <c r="D1" s="96"/>
      <c r="E1" s="96"/>
      <c r="F1" s="96"/>
    </row>
    <row r="3" spans="1:6" x14ac:dyDescent="0.25">
      <c r="B3" s="1" t="s">
        <v>465</v>
      </c>
    </row>
    <row r="4" spans="1:6" x14ac:dyDescent="0.25">
      <c r="B4" t="s">
        <v>343</v>
      </c>
      <c r="C4" s="5">
        <v>0</v>
      </c>
      <c r="E4" s="1" t="s">
        <v>230</v>
      </c>
      <c r="F4" s="4">
        <v>0</v>
      </c>
    </row>
    <row r="5" spans="1:6" x14ac:dyDescent="0.25">
      <c r="B5" t="s">
        <v>3</v>
      </c>
      <c r="C5" s="3">
        <v>0</v>
      </c>
    </row>
    <row r="6" spans="1:6" x14ac:dyDescent="0.25">
      <c r="B6" t="s">
        <v>4</v>
      </c>
      <c r="C6" s="7">
        <f>C5*C4</f>
        <v>0</v>
      </c>
    </row>
    <row r="7" spans="1:6" x14ac:dyDescent="0.25">
      <c r="B7" t="s">
        <v>36</v>
      </c>
      <c r="C7" s="7">
        <f>C6*7</f>
        <v>0</v>
      </c>
    </row>
    <row r="8" spans="1:6" x14ac:dyDescent="0.25">
      <c r="B8" t="s">
        <v>53</v>
      </c>
      <c r="C8" s="14"/>
      <c r="D8" s="8" t="s">
        <v>345</v>
      </c>
    </row>
    <row r="9" spans="1:6" x14ac:dyDescent="0.25">
      <c r="B9" t="s">
        <v>344</v>
      </c>
      <c r="C9" s="7">
        <f>IF(C8&gt;0,C8*52,C7*52)</f>
        <v>0</v>
      </c>
    </row>
    <row r="11" spans="1:6" x14ac:dyDescent="0.25">
      <c r="B11" s="1" t="s">
        <v>346</v>
      </c>
      <c r="C11" s="1" t="s">
        <v>2</v>
      </c>
    </row>
    <row r="12" spans="1:6" x14ac:dyDescent="0.25">
      <c r="B12" t="s">
        <v>1</v>
      </c>
      <c r="C12" s="5">
        <v>40</v>
      </c>
    </row>
    <row r="13" spans="1:6" x14ac:dyDescent="0.25">
      <c r="B13" t="s">
        <v>3</v>
      </c>
      <c r="C13" s="3">
        <v>100</v>
      </c>
    </row>
    <row r="14" spans="1:6" x14ac:dyDescent="0.25">
      <c r="B14" t="s">
        <v>4</v>
      </c>
      <c r="C14" s="7">
        <f>C13*C12</f>
        <v>4000</v>
      </c>
      <c r="D14" s="10"/>
    </row>
    <row r="15" spans="1:6" x14ac:dyDescent="0.25">
      <c r="B15" t="s">
        <v>36</v>
      </c>
      <c r="C15" s="7">
        <f>C14*7</f>
        <v>28000</v>
      </c>
      <c r="D15" s="10"/>
    </row>
    <row r="16" spans="1:6" x14ac:dyDescent="0.25">
      <c r="B16" t="s">
        <v>5</v>
      </c>
      <c r="C16" s="7">
        <f>C14*30</f>
        <v>120000</v>
      </c>
      <c r="D16" s="10"/>
    </row>
    <row r="17" spans="2:6" x14ac:dyDescent="0.25">
      <c r="B17" t="s">
        <v>6</v>
      </c>
      <c r="C17" s="7">
        <f>C14*(365/4)</f>
        <v>365000</v>
      </c>
      <c r="D17" s="10"/>
      <c r="E17" s="8"/>
    </row>
    <row r="18" spans="2:6" x14ac:dyDescent="0.25">
      <c r="B18" s="8" t="s">
        <v>160</v>
      </c>
      <c r="C18" s="9">
        <f>C14*7*52</f>
        <v>1456000</v>
      </c>
    </row>
    <row r="20" spans="2:6" x14ac:dyDescent="0.25">
      <c r="B20" t="s">
        <v>53</v>
      </c>
      <c r="C20" s="14"/>
      <c r="D20" s="8" t="s">
        <v>158</v>
      </c>
    </row>
    <row r="21" spans="2:6" x14ac:dyDescent="0.25">
      <c r="B21" t="s">
        <v>54</v>
      </c>
      <c r="C21" s="7">
        <f>C20*52/4</f>
        <v>0</v>
      </c>
    </row>
    <row r="22" spans="2:6" x14ac:dyDescent="0.25">
      <c r="B22" s="8" t="s">
        <v>159</v>
      </c>
      <c r="C22" s="9">
        <f>IF(C20&gt;0,C20*52,C15*52)+C9</f>
        <v>1456000</v>
      </c>
      <c r="D22" s="8" t="s">
        <v>386</v>
      </c>
    </row>
    <row r="23" spans="2:6" x14ac:dyDescent="0.25">
      <c r="B23" s="8"/>
      <c r="C23" s="8"/>
      <c r="D23" s="8"/>
    </row>
    <row r="24" spans="2:6" x14ac:dyDescent="0.25">
      <c r="B24" t="s">
        <v>385</v>
      </c>
      <c r="C24" s="7">
        <f>'Lease Information'!C9*12</f>
        <v>0</v>
      </c>
    </row>
    <row r="25" spans="2:6" x14ac:dyDescent="0.25">
      <c r="B25" s="12" t="s">
        <v>387</v>
      </c>
      <c r="C25" s="15">
        <f>C22+C24</f>
        <v>1456000</v>
      </c>
      <c r="D25" s="8" t="s">
        <v>388</v>
      </c>
    </row>
    <row r="27" spans="2:6" x14ac:dyDescent="0.25">
      <c r="B27" s="1" t="s">
        <v>347</v>
      </c>
      <c r="C27" s="1" t="s">
        <v>65</v>
      </c>
      <c r="D27" s="1" t="s">
        <v>69</v>
      </c>
      <c r="E27" s="1" t="s">
        <v>68</v>
      </c>
      <c r="F27" s="1" t="s">
        <v>70</v>
      </c>
    </row>
    <row r="28" spans="2:6" x14ac:dyDescent="0.25">
      <c r="B28" t="s">
        <v>56</v>
      </c>
      <c r="C28" s="4">
        <v>0.22</v>
      </c>
      <c r="D28" s="6">
        <f t="shared" ref="D28:D38" si="0">C28*$C$22</f>
        <v>320320</v>
      </c>
      <c r="E28" s="4">
        <v>0.28000000000000003</v>
      </c>
      <c r="F28" s="6">
        <f t="shared" ref="F28:F38" si="1">E28*D28</f>
        <v>89689.600000000006</v>
      </c>
    </row>
    <row r="29" spans="2:6" x14ac:dyDescent="0.25">
      <c r="B29" t="s">
        <v>57</v>
      </c>
      <c r="C29" s="4">
        <v>0.3</v>
      </c>
      <c r="D29" s="6">
        <f t="shared" si="0"/>
        <v>436800</v>
      </c>
      <c r="E29" s="4">
        <v>0.31</v>
      </c>
      <c r="F29" s="6">
        <f t="shared" si="1"/>
        <v>135408</v>
      </c>
    </row>
    <row r="30" spans="2:6" x14ac:dyDescent="0.25">
      <c r="B30" t="s">
        <v>58</v>
      </c>
      <c r="C30" s="4">
        <v>0.1</v>
      </c>
      <c r="D30" s="6">
        <f t="shared" si="0"/>
        <v>145600</v>
      </c>
      <c r="E30" s="4">
        <v>0.25</v>
      </c>
      <c r="F30" s="6">
        <f t="shared" si="1"/>
        <v>36400</v>
      </c>
    </row>
    <row r="31" spans="2:6" x14ac:dyDescent="0.25">
      <c r="B31" t="s">
        <v>59</v>
      </c>
      <c r="C31" s="4">
        <v>0.05</v>
      </c>
      <c r="D31" s="6">
        <f t="shared" si="0"/>
        <v>72800</v>
      </c>
      <c r="E31" s="4">
        <v>0.3</v>
      </c>
      <c r="F31" s="6">
        <f t="shared" si="1"/>
        <v>21840</v>
      </c>
    </row>
    <row r="32" spans="2:6" x14ac:dyDescent="0.25">
      <c r="B32" t="s">
        <v>60</v>
      </c>
      <c r="C32" s="4">
        <v>0.1</v>
      </c>
      <c r="D32" s="6">
        <f t="shared" si="0"/>
        <v>145600</v>
      </c>
      <c r="E32" s="4">
        <v>0.26</v>
      </c>
      <c r="F32" s="6">
        <f t="shared" si="1"/>
        <v>37856</v>
      </c>
    </row>
    <row r="33" spans="2:6" x14ac:dyDescent="0.25">
      <c r="B33" t="s">
        <v>61</v>
      </c>
      <c r="C33" s="4">
        <v>0.05</v>
      </c>
      <c r="D33" s="6">
        <f t="shared" si="0"/>
        <v>72800</v>
      </c>
      <c r="E33" s="4">
        <v>0.42</v>
      </c>
      <c r="F33" s="6">
        <f t="shared" si="1"/>
        <v>30576</v>
      </c>
    </row>
    <row r="34" spans="2:6" x14ac:dyDescent="0.25">
      <c r="B34" t="s">
        <v>62</v>
      </c>
      <c r="C34" s="4">
        <v>0.1</v>
      </c>
      <c r="D34" s="6">
        <f t="shared" si="0"/>
        <v>145600</v>
      </c>
      <c r="E34" s="4">
        <v>0.45</v>
      </c>
      <c r="F34" s="6">
        <f t="shared" si="1"/>
        <v>65520</v>
      </c>
    </row>
    <row r="35" spans="2:6" x14ac:dyDescent="0.25">
      <c r="B35" t="s">
        <v>458</v>
      </c>
      <c r="C35" s="4">
        <v>0</v>
      </c>
      <c r="D35" s="6">
        <f t="shared" si="0"/>
        <v>0</v>
      </c>
      <c r="E35" s="4">
        <v>0.28000000000000003</v>
      </c>
      <c r="F35" s="6">
        <f t="shared" si="1"/>
        <v>0</v>
      </c>
    </row>
    <row r="36" spans="2:6" x14ac:dyDescent="0.25">
      <c r="B36" t="s">
        <v>63</v>
      </c>
      <c r="C36" s="4">
        <v>0</v>
      </c>
      <c r="D36" s="6">
        <f t="shared" si="0"/>
        <v>0</v>
      </c>
      <c r="E36" s="4">
        <v>0.22</v>
      </c>
      <c r="F36" s="6">
        <f t="shared" si="1"/>
        <v>0</v>
      </c>
    </row>
    <row r="37" spans="2:6" x14ac:dyDescent="0.25">
      <c r="B37" t="s">
        <v>64</v>
      </c>
      <c r="C37" s="4">
        <v>0.04</v>
      </c>
      <c r="D37" s="6">
        <f t="shared" si="0"/>
        <v>58240</v>
      </c>
      <c r="E37" s="4">
        <v>0.15</v>
      </c>
      <c r="F37" s="6">
        <f t="shared" si="1"/>
        <v>8736</v>
      </c>
    </row>
    <row r="38" spans="2:6" x14ac:dyDescent="0.25">
      <c r="B38" s="25" t="s">
        <v>55</v>
      </c>
      <c r="C38" s="41">
        <v>0.04</v>
      </c>
      <c r="D38" s="42">
        <f t="shared" si="0"/>
        <v>58240</v>
      </c>
      <c r="E38" s="41">
        <v>0.45</v>
      </c>
      <c r="F38" s="42">
        <f t="shared" si="1"/>
        <v>26208</v>
      </c>
    </row>
    <row r="39" spans="2:6" x14ac:dyDescent="0.25">
      <c r="B39" s="25"/>
      <c r="C39" s="41"/>
      <c r="D39" s="42"/>
      <c r="E39" s="41"/>
      <c r="F39" s="42"/>
    </row>
    <row r="40" spans="2:6" x14ac:dyDescent="0.25">
      <c r="B40" s="25"/>
      <c r="C40" s="41"/>
      <c r="D40" s="42"/>
      <c r="E40" s="41"/>
      <c r="F40" s="42"/>
    </row>
    <row r="41" spans="2:6" x14ac:dyDescent="0.25">
      <c r="B41" s="25"/>
      <c r="C41" s="41"/>
      <c r="D41" s="42"/>
      <c r="E41" s="41"/>
      <c r="F41" s="42"/>
    </row>
    <row r="42" spans="2:6" x14ac:dyDescent="0.25">
      <c r="B42" s="25"/>
      <c r="C42" s="41"/>
      <c r="D42" s="42"/>
      <c r="E42" s="41"/>
      <c r="F42" s="42"/>
    </row>
    <row r="43" spans="2:6" x14ac:dyDescent="0.25">
      <c r="B43" s="25"/>
      <c r="C43" s="41"/>
      <c r="D43" s="42"/>
      <c r="E43" s="41"/>
      <c r="F43" s="42"/>
    </row>
    <row r="44" spans="2:6" x14ac:dyDescent="0.25">
      <c r="B44" s="25"/>
      <c r="C44" s="41"/>
      <c r="D44" s="42"/>
      <c r="E44" s="41"/>
      <c r="F44" s="42"/>
    </row>
    <row r="45" spans="2:6" x14ac:dyDescent="0.25">
      <c r="B45" s="25"/>
      <c r="C45" s="41"/>
      <c r="D45" s="42"/>
      <c r="E45" s="41"/>
      <c r="F45" s="42"/>
    </row>
    <row r="46" spans="2:6" ht="15.75" thickBot="1" x14ac:dyDescent="0.3">
      <c r="B46" s="17" t="s">
        <v>66</v>
      </c>
      <c r="C46" s="18">
        <f>SUM(C28:C45)</f>
        <v>1</v>
      </c>
      <c r="D46" s="20">
        <f>C46*$C$22</f>
        <v>1456000</v>
      </c>
      <c r="E46" s="19"/>
      <c r="F46" s="20">
        <f>SUM(F28:F45)</f>
        <v>452233.6</v>
      </c>
    </row>
    <row r="47" spans="2:6" ht="15.75" thickTop="1" x14ac:dyDescent="0.25"/>
  </sheetData>
  <mergeCells count="1">
    <mergeCell ref="B1:F1"/>
  </mergeCells>
  <pageMargins left="0.7" right="0.7" top="0.75" bottom="0.75" header="0.3" footer="0.3"/>
  <pageSetup orientation="portrait" horizontalDpi="4294967293" verticalDpi="4294967293" r:id="rId1"/>
  <headerFooter>
    <oddFooter>&amp;R&amp;8Created by: Fair Food Network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DCD6-D670-4973-A5F8-ABD57C70A596}">
  <sheetPr>
    <tabColor theme="7"/>
  </sheetPr>
  <dimension ref="A1:F203"/>
  <sheetViews>
    <sheetView topLeftCell="A64" workbookViewId="0">
      <selection activeCell="D10" sqref="D10"/>
    </sheetView>
  </sheetViews>
  <sheetFormatPr defaultColWidth="8.85546875" defaultRowHeight="15" x14ac:dyDescent="0.25"/>
  <cols>
    <col min="1" max="1" width="3.42578125" customWidth="1"/>
    <col min="2" max="2" width="44.140625" bestFit="1" customWidth="1"/>
    <col min="3" max="3" width="21.42578125" customWidth="1"/>
    <col min="4" max="4" width="28.85546875" customWidth="1"/>
    <col min="5" max="5" width="38.140625" bestFit="1" customWidth="1"/>
  </cols>
  <sheetData>
    <row r="1" spans="1:6" x14ac:dyDescent="0.25">
      <c r="A1" t="s">
        <v>21</v>
      </c>
      <c r="B1" s="96" t="s">
        <v>7</v>
      </c>
      <c r="C1" s="96"/>
      <c r="D1" s="96"/>
      <c r="E1" s="96"/>
      <c r="F1" s="96"/>
    </row>
    <row r="3" spans="1:6" x14ac:dyDescent="0.25">
      <c r="B3" s="8" t="s">
        <v>338</v>
      </c>
    </row>
    <row r="4" spans="1:6" x14ac:dyDescent="0.25">
      <c r="B4" s="8" t="s">
        <v>392</v>
      </c>
    </row>
    <row r="5" spans="1:6" x14ac:dyDescent="0.25">
      <c r="B5" s="2"/>
    </row>
    <row r="6" spans="1:6" x14ac:dyDescent="0.25">
      <c r="B6" s="1" t="s">
        <v>314</v>
      </c>
      <c r="C6" s="58" t="s">
        <v>466</v>
      </c>
    </row>
    <row r="8" spans="1:6" x14ac:dyDescent="0.25">
      <c r="A8" t="s">
        <v>21</v>
      </c>
      <c r="B8" s="1" t="s">
        <v>175</v>
      </c>
      <c r="D8" s="8" t="s">
        <v>216</v>
      </c>
    </row>
    <row r="9" spans="1:6" x14ac:dyDescent="0.25">
      <c r="B9" t="s">
        <v>33</v>
      </c>
      <c r="C9" s="5">
        <v>420084</v>
      </c>
      <c r="D9" t="s">
        <v>467</v>
      </c>
    </row>
    <row r="10" spans="1:6" x14ac:dyDescent="0.25">
      <c r="B10" t="s">
        <v>34</v>
      </c>
      <c r="C10" s="5">
        <v>2500</v>
      </c>
      <c r="D10" t="s">
        <v>467</v>
      </c>
    </row>
    <row r="11" spans="1:6" x14ac:dyDescent="0.25">
      <c r="C11" s="5"/>
    </row>
    <row r="12" spans="1:6" x14ac:dyDescent="0.25">
      <c r="C12" s="5"/>
    </row>
    <row r="13" spans="1:6" x14ac:dyDescent="0.25">
      <c r="C13" s="5"/>
    </row>
    <row r="14" spans="1:6" x14ac:dyDescent="0.25">
      <c r="C14" s="5"/>
    </row>
    <row r="16" spans="1:6" x14ac:dyDescent="0.25">
      <c r="B16" s="8" t="s">
        <v>35</v>
      </c>
      <c r="C16" s="6">
        <f>SUM(C9:C14)</f>
        <v>422584</v>
      </c>
    </row>
    <row r="18" spans="1:5" x14ac:dyDescent="0.25">
      <c r="A18" t="s">
        <v>21</v>
      </c>
      <c r="B18" s="8" t="s">
        <v>310</v>
      </c>
    </row>
    <row r="19" spans="1:5" x14ac:dyDescent="0.25">
      <c r="B19" s="1" t="s">
        <v>311</v>
      </c>
      <c r="C19" s="5">
        <v>50</v>
      </c>
      <c r="D19" s="35" t="s">
        <v>459</v>
      </c>
    </row>
    <row r="20" spans="1:5" x14ac:dyDescent="0.25">
      <c r="B20" s="1" t="s">
        <v>312</v>
      </c>
      <c r="C20" s="7">
        <f>C19*'Lease Information'!C5</f>
        <v>400000</v>
      </c>
    </row>
    <row r="22" spans="1:5" x14ac:dyDescent="0.25">
      <c r="B22" s="8" t="s">
        <v>313</v>
      </c>
    </row>
    <row r="24" spans="1:5" x14ac:dyDescent="0.25">
      <c r="A24" t="s">
        <v>21</v>
      </c>
      <c r="B24" s="1" t="s">
        <v>11</v>
      </c>
      <c r="C24" s="1" t="s">
        <v>2</v>
      </c>
      <c r="D24" s="8" t="s">
        <v>394</v>
      </c>
    </row>
    <row r="25" spans="1:5" x14ac:dyDescent="0.25">
      <c r="B25" t="s">
        <v>8</v>
      </c>
      <c r="C25" s="5">
        <v>0</v>
      </c>
    </row>
    <row r="26" spans="1:5" x14ac:dyDescent="0.25">
      <c r="B26" t="s">
        <v>9</v>
      </c>
      <c r="C26" s="3">
        <v>0</v>
      </c>
    </row>
    <row r="27" spans="1:5" x14ac:dyDescent="0.25">
      <c r="B27" t="s">
        <v>10</v>
      </c>
      <c r="C27" s="7">
        <f>C26*C25</f>
        <v>0</v>
      </c>
    </row>
    <row r="28" spans="1:5" x14ac:dyDescent="0.25">
      <c r="B28" t="s">
        <v>15</v>
      </c>
      <c r="C28" s="3">
        <v>0</v>
      </c>
    </row>
    <row r="29" spans="1:5" x14ac:dyDescent="0.25">
      <c r="B29" t="s">
        <v>405</v>
      </c>
      <c r="C29" s="5">
        <v>0</v>
      </c>
      <c r="D29" t="s">
        <v>402</v>
      </c>
      <c r="E29" s="7" t="str">
        <f>IFERROR((C27-C29)/C28,"")</f>
        <v/>
      </c>
    </row>
    <row r="30" spans="1:5" x14ac:dyDescent="0.25">
      <c r="B30" t="s">
        <v>168</v>
      </c>
      <c r="C30" s="5">
        <v>0</v>
      </c>
    </row>
    <row r="31" spans="1:5" x14ac:dyDescent="0.25">
      <c r="B31" t="s">
        <v>161</v>
      </c>
      <c r="C31" s="3">
        <v>0</v>
      </c>
    </row>
    <row r="32" spans="1:5" x14ac:dyDescent="0.25">
      <c r="B32" t="s">
        <v>162</v>
      </c>
      <c r="C32" s="7">
        <f>C31*C30</f>
        <v>0</v>
      </c>
    </row>
    <row r="33" spans="2:5" x14ac:dyDescent="0.25">
      <c r="B33" t="s">
        <v>163</v>
      </c>
      <c r="C33" s="3">
        <v>0</v>
      </c>
    </row>
    <row r="34" spans="2:5" x14ac:dyDescent="0.25">
      <c r="B34" t="s">
        <v>406</v>
      </c>
      <c r="C34" s="5">
        <v>0</v>
      </c>
      <c r="D34" t="s">
        <v>395</v>
      </c>
      <c r="E34" s="7" t="str">
        <f>IFERROR((C32-C34)/C33,"")</f>
        <v/>
      </c>
    </row>
    <row r="35" spans="2:5" x14ac:dyDescent="0.25">
      <c r="B35" t="s">
        <v>169</v>
      </c>
      <c r="C35" s="5">
        <v>0</v>
      </c>
    </row>
    <row r="36" spans="2:5" x14ac:dyDescent="0.25">
      <c r="B36" t="s">
        <v>164</v>
      </c>
      <c r="C36" s="3">
        <v>0</v>
      </c>
    </row>
    <row r="37" spans="2:5" x14ac:dyDescent="0.25">
      <c r="B37" t="s">
        <v>165</v>
      </c>
      <c r="C37" s="7">
        <f>C36*C35</f>
        <v>0</v>
      </c>
    </row>
    <row r="38" spans="2:5" x14ac:dyDescent="0.25">
      <c r="B38" t="s">
        <v>166</v>
      </c>
      <c r="C38" s="3">
        <v>0</v>
      </c>
    </row>
    <row r="39" spans="2:5" x14ac:dyDescent="0.25">
      <c r="B39" t="s">
        <v>407</v>
      </c>
      <c r="C39" s="5">
        <v>0</v>
      </c>
      <c r="D39" t="s">
        <v>396</v>
      </c>
      <c r="E39" s="7" t="str">
        <f>IFERROR((C37-C39)/C38,"")</f>
        <v/>
      </c>
    </row>
    <row r="40" spans="2:5" x14ac:dyDescent="0.25">
      <c r="B40" t="s">
        <v>170</v>
      </c>
      <c r="C40" s="5">
        <v>0</v>
      </c>
    </row>
    <row r="41" spans="2:5" x14ac:dyDescent="0.25">
      <c r="B41" t="s">
        <v>13</v>
      </c>
      <c r="C41" s="3">
        <v>0</v>
      </c>
    </row>
    <row r="42" spans="2:5" x14ac:dyDescent="0.25">
      <c r="B42" t="s">
        <v>14</v>
      </c>
      <c r="C42" s="7">
        <f>C41*C40</f>
        <v>0</v>
      </c>
    </row>
    <row r="43" spans="2:5" x14ac:dyDescent="0.25">
      <c r="B43" t="s">
        <v>16</v>
      </c>
      <c r="C43" s="3">
        <v>0</v>
      </c>
    </row>
    <row r="44" spans="2:5" x14ac:dyDescent="0.25">
      <c r="B44" t="s">
        <v>408</v>
      </c>
      <c r="C44" s="5">
        <v>0</v>
      </c>
      <c r="D44" t="s">
        <v>397</v>
      </c>
      <c r="E44" s="7" t="str">
        <f>IFERROR((C42-C44)/C43,"")</f>
        <v/>
      </c>
    </row>
    <row r="45" spans="2:5" x14ac:dyDescent="0.25">
      <c r="B45" t="s">
        <v>205</v>
      </c>
      <c r="C45" s="5">
        <v>0</v>
      </c>
    </row>
    <row r="46" spans="2:5" x14ac:dyDescent="0.25">
      <c r="B46" t="s">
        <v>202</v>
      </c>
      <c r="C46" s="3">
        <v>0</v>
      </c>
    </row>
    <row r="47" spans="2:5" x14ac:dyDescent="0.25">
      <c r="B47" t="s">
        <v>203</v>
      </c>
      <c r="C47" s="7">
        <f>C46*C45</f>
        <v>0</v>
      </c>
    </row>
    <row r="48" spans="2:5" x14ac:dyDescent="0.25">
      <c r="B48" t="s">
        <v>204</v>
      </c>
      <c r="C48" s="3">
        <v>0</v>
      </c>
    </row>
    <row r="49" spans="2:5" x14ac:dyDescent="0.25">
      <c r="B49" t="s">
        <v>409</v>
      </c>
      <c r="C49" s="5">
        <v>0</v>
      </c>
      <c r="D49" t="s">
        <v>398</v>
      </c>
      <c r="E49" s="7" t="str">
        <f>IFERROR((C47-C49)/C48,"")</f>
        <v/>
      </c>
    </row>
    <row r="50" spans="2:5" x14ac:dyDescent="0.25">
      <c r="B50" t="s">
        <v>206</v>
      </c>
      <c r="C50" s="5">
        <v>0</v>
      </c>
    </row>
    <row r="51" spans="2:5" x14ac:dyDescent="0.25">
      <c r="B51" t="s">
        <v>207</v>
      </c>
      <c r="C51" s="3">
        <v>0</v>
      </c>
    </row>
    <row r="52" spans="2:5" x14ac:dyDescent="0.25">
      <c r="B52" t="s">
        <v>208</v>
      </c>
      <c r="C52" s="7">
        <f>C51*C50</f>
        <v>0</v>
      </c>
    </row>
    <row r="53" spans="2:5" x14ac:dyDescent="0.25">
      <c r="B53" t="s">
        <v>209</v>
      </c>
      <c r="C53" s="3">
        <v>0</v>
      </c>
    </row>
    <row r="54" spans="2:5" x14ac:dyDescent="0.25">
      <c r="B54" t="s">
        <v>410</v>
      </c>
      <c r="C54" s="5">
        <v>0</v>
      </c>
      <c r="D54" t="s">
        <v>399</v>
      </c>
      <c r="E54" s="7" t="str">
        <f>IFERROR((C52-C54)/C53,"")</f>
        <v/>
      </c>
    </row>
    <row r="55" spans="2:5" x14ac:dyDescent="0.25">
      <c r="B55" t="s">
        <v>210</v>
      </c>
      <c r="C55" s="5">
        <v>0</v>
      </c>
    </row>
    <row r="56" spans="2:5" x14ac:dyDescent="0.25">
      <c r="B56" t="s">
        <v>211</v>
      </c>
      <c r="C56" s="3">
        <v>0</v>
      </c>
    </row>
    <row r="57" spans="2:5" x14ac:dyDescent="0.25">
      <c r="B57" t="s">
        <v>212</v>
      </c>
      <c r="C57" s="7">
        <f>C56*C55</f>
        <v>0</v>
      </c>
    </row>
    <row r="58" spans="2:5" x14ac:dyDescent="0.25">
      <c r="B58" t="s">
        <v>213</v>
      </c>
      <c r="C58" s="3">
        <v>0</v>
      </c>
    </row>
    <row r="59" spans="2:5" x14ac:dyDescent="0.25">
      <c r="B59" t="s">
        <v>411</v>
      </c>
      <c r="C59" s="5">
        <v>0</v>
      </c>
      <c r="D59" t="s">
        <v>400</v>
      </c>
      <c r="E59" s="7" t="str">
        <f>IFERROR((C57-C59)/C58,"")</f>
        <v/>
      </c>
    </row>
    <row r="60" spans="2:5" x14ac:dyDescent="0.25">
      <c r="B60" t="s">
        <v>23</v>
      </c>
      <c r="C60" s="5">
        <v>0</v>
      </c>
    </row>
    <row r="61" spans="2:5" x14ac:dyDescent="0.25">
      <c r="B61" t="s">
        <v>393</v>
      </c>
      <c r="C61" s="3">
        <v>0</v>
      </c>
    </row>
    <row r="62" spans="2:5" x14ac:dyDescent="0.25">
      <c r="B62" t="s">
        <v>412</v>
      </c>
      <c r="C62" s="5">
        <v>0</v>
      </c>
      <c r="D62" t="s">
        <v>401</v>
      </c>
      <c r="E62" s="7" t="str">
        <f>IFERROR((C60-C62)/C61,"")</f>
        <v/>
      </c>
    </row>
    <row r="64" spans="2:5" x14ac:dyDescent="0.25">
      <c r="B64" s="8" t="s">
        <v>17</v>
      </c>
      <c r="C64" s="9">
        <f>SUM(C42,C32,C27,C60,C37,C47,C52,C57)</f>
        <v>0</v>
      </c>
      <c r="D64" t="s">
        <v>318</v>
      </c>
      <c r="E64" s="6">
        <f>SUM(E44,E39,E34,E29,E59,E54,E49,E62)</f>
        <v>0</v>
      </c>
    </row>
    <row r="66" spans="1:5" x14ac:dyDescent="0.25">
      <c r="A66" t="s">
        <v>21</v>
      </c>
      <c r="B66" s="1" t="s">
        <v>19</v>
      </c>
      <c r="C66" s="1" t="s">
        <v>2</v>
      </c>
      <c r="D66" s="8" t="s">
        <v>394</v>
      </c>
    </row>
    <row r="67" spans="1:5" x14ac:dyDescent="0.25">
      <c r="B67" t="s">
        <v>8</v>
      </c>
      <c r="C67" s="5">
        <v>0</v>
      </c>
    </row>
    <row r="68" spans="1:5" x14ac:dyDescent="0.25">
      <c r="B68" t="s">
        <v>9</v>
      </c>
      <c r="C68" s="3">
        <v>0</v>
      </c>
    </row>
    <row r="69" spans="1:5" x14ac:dyDescent="0.25">
      <c r="B69" t="s">
        <v>10</v>
      </c>
      <c r="C69" s="7">
        <f>C68*C67</f>
        <v>0</v>
      </c>
    </row>
    <row r="70" spans="1:5" x14ac:dyDescent="0.25">
      <c r="B70" t="s">
        <v>15</v>
      </c>
      <c r="C70" s="3">
        <v>0</v>
      </c>
      <c r="D70" t="s">
        <v>402</v>
      </c>
      <c r="E70" s="34" t="str">
        <f>IFERROR(C69/C70,"")</f>
        <v/>
      </c>
    </row>
    <row r="71" spans="1:5" x14ac:dyDescent="0.25">
      <c r="B71" t="s">
        <v>168</v>
      </c>
      <c r="C71" s="5">
        <v>0</v>
      </c>
    </row>
    <row r="72" spans="1:5" x14ac:dyDescent="0.25">
      <c r="B72" t="s">
        <v>161</v>
      </c>
      <c r="C72" s="3">
        <v>0</v>
      </c>
    </row>
    <row r="73" spans="1:5" x14ac:dyDescent="0.25">
      <c r="B73" t="s">
        <v>162</v>
      </c>
      <c r="C73" s="7">
        <f>C72*C71</f>
        <v>0</v>
      </c>
    </row>
    <row r="74" spans="1:5" x14ac:dyDescent="0.25">
      <c r="B74" t="s">
        <v>163</v>
      </c>
      <c r="C74" s="3">
        <v>0</v>
      </c>
      <c r="D74" t="s">
        <v>403</v>
      </c>
      <c r="E74" s="34" t="str">
        <f>IFERROR(C73/C74,"")</f>
        <v/>
      </c>
    </row>
    <row r="75" spans="1:5" x14ac:dyDescent="0.25">
      <c r="B75" t="s">
        <v>169</v>
      </c>
      <c r="C75" s="5">
        <v>0</v>
      </c>
    </row>
    <row r="76" spans="1:5" x14ac:dyDescent="0.25">
      <c r="B76" t="s">
        <v>164</v>
      </c>
      <c r="C76" s="3">
        <v>0</v>
      </c>
    </row>
    <row r="77" spans="1:5" x14ac:dyDescent="0.25">
      <c r="B77" t="s">
        <v>165</v>
      </c>
      <c r="C77" s="7">
        <f>C76*C75</f>
        <v>0</v>
      </c>
    </row>
    <row r="78" spans="1:5" x14ac:dyDescent="0.25">
      <c r="B78" t="s">
        <v>166</v>
      </c>
      <c r="C78" s="3">
        <v>0</v>
      </c>
      <c r="D78" t="s">
        <v>396</v>
      </c>
      <c r="E78" s="34" t="str">
        <f>IFERROR(C77/C78,"")</f>
        <v/>
      </c>
    </row>
    <row r="79" spans="1:5" x14ac:dyDescent="0.25">
      <c r="B79" t="s">
        <v>12</v>
      </c>
      <c r="C79" s="5">
        <v>0</v>
      </c>
    </row>
    <row r="80" spans="1:5" x14ac:dyDescent="0.25">
      <c r="B80" t="s">
        <v>13</v>
      </c>
      <c r="C80" s="3">
        <v>0</v>
      </c>
    </row>
    <row r="81" spans="2:5" x14ac:dyDescent="0.25">
      <c r="B81" t="s">
        <v>14</v>
      </c>
      <c r="C81" s="7">
        <f>C80*C79</f>
        <v>0</v>
      </c>
    </row>
    <row r="82" spans="2:5" x14ac:dyDescent="0.25">
      <c r="B82" t="s">
        <v>16</v>
      </c>
      <c r="C82" s="3">
        <v>0</v>
      </c>
      <c r="D82" t="s">
        <v>397</v>
      </c>
      <c r="E82" s="34" t="str">
        <f>IFERROR(C81/C82,"")</f>
        <v/>
      </c>
    </row>
    <row r="83" spans="2:5" x14ac:dyDescent="0.25">
      <c r="B83" t="s">
        <v>201</v>
      </c>
      <c r="C83" s="5">
        <v>0</v>
      </c>
    </row>
    <row r="84" spans="2:5" x14ac:dyDescent="0.25">
      <c r="B84" t="s">
        <v>202</v>
      </c>
      <c r="C84" s="3">
        <v>0</v>
      </c>
    </row>
    <row r="85" spans="2:5" x14ac:dyDescent="0.25">
      <c r="B85" t="s">
        <v>203</v>
      </c>
      <c r="C85" s="7">
        <f>C84*C83</f>
        <v>0</v>
      </c>
    </row>
    <row r="86" spans="2:5" x14ac:dyDescent="0.25">
      <c r="B86" t="s">
        <v>204</v>
      </c>
      <c r="C86" s="3">
        <v>0</v>
      </c>
      <c r="D86" t="s">
        <v>398</v>
      </c>
      <c r="E86" s="34" t="str">
        <f>IFERROR(C85/C86,"")</f>
        <v/>
      </c>
    </row>
    <row r="87" spans="2:5" x14ac:dyDescent="0.25">
      <c r="B87" t="s">
        <v>214</v>
      </c>
      <c r="C87" s="5">
        <v>0</v>
      </c>
    </row>
    <row r="88" spans="2:5" x14ac:dyDescent="0.25">
      <c r="B88" t="s">
        <v>207</v>
      </c>
      <c r="C88" s="3">
        <v>0</v>
      </c>
    </row>
    <row r="89" spans="2:5" x14ac:dyDescent="0.25">
      <c r="B89" t="s">
        <v>208</v>
      </c>
      <c r="C89" s="7">
        <f>C88*C87</f>
        <v>0</v>
      </c>
    </row>
    <row r="90" spans="2:5" x14ac:dyDescent="0.25">
      <c r="B90" t="s">
        <v>209</v>
      </c>
      <c r="C90" s="3">
        <v>0</v>
      </c>
      <c r="D90" t="s">
        <v>399</v>
      </c>
      <c r="E90" s="34" t="str">
        <f>IFERROR(C89/C90,"")</f>
        <v/>
      </c>
    </row>
    <row r="91" spans="2:5" x14ac:dyDescent="0.25">
      <c r="B91" t="s">
        <v>215</v>
      </c>
      <c r="C91" s="5">
        <v>0</v>
      </c>
    </row>
    <row r="92" spans="2:5" x14ac:dyDescent="0.25">
      <c r="B92" t="s">
        <v>211</v>
      </c>
      <c r="C92" s="3">
        <v>0</v>
      </c>
    </row>
    <row r="93" spans="2:5" x14ac:dyDescent="0.25">
      <c r="B93" t="s">
        <v>212</v>
      </c>
      <c r="C93" s="7">
        <f>C92*C91</f>
        <v>0</v>
      </c>
    </row>
    <row r="94" spans="2:5" x14ac:dyDescent="0.25">
      <c r="B94" t="s">
        <v>213</v>
      </c>
      <c r="C94" s="3">
        <v>0</v>
      </c>
      <c r="D94" t="s">
        <v>400</v>
      </c>
      <c r="E94" s="34" t="str">
        <f>IFERROR(C93/C94,"")</f>
        <v/>
      </c>
    </row>
    <row r="95" spans="2:5" x14ac:dyDescent="0.25">
      <c r="B95" t="s">
        <v>24</v>
      </c>
      <c r="C95" s="5">
        <v>250000</v>
      </c>
    </row>
    <row r="96" spans="2:5" x14ac:dyDescent="0.25">
      <c r="B96" t="s">
        <v>167</v>
      </c>
      <c r="C96" s="11">
        <v>10</v>
      </c>
      <c r="D96" t="s">
        <v>404</v>
      </c>
      <c r="E96" s="7">
        <f>C95/C96</f>
        <v>25000</v>
      </c>
    </row>
    <row r="98" spans="1:5" x14ac:dyDescent="0.25">
      <c r="B98" s="8" t="s">
        <v>20</v>
      </c>
      <c r="C98" s="9">
        <f>SUM(C81,C73,C69,C95,C77,C85,C89,C93)</f>
        <v>250000</v>
      </c>
      <c r="D98" t="s">
        <v>319</v>
      </c>
      <c r="E98" s="7">
        <f>SUM(E96,E82,E78,E74,E70,E86,E90,E94)</f>
        <v>25000</v>
      </c>
    </row>
    <row r="100" spans="1:5" x14ac:dyDescent="0.25">
      <c r="A100" t="s">
        <v>21</v>
      </c>
      <c r="B100" s="1" t="s">
        <v>27</v>
      </c>
      <c r="D100" s="8" t="s">
        <v>216</v>
      </c>
    </row>
    <row r="101" spans="1:5" x14ac:dyDescent="0.25">
      <c r="B101" t="s">
        <v>22</v>
      </c>
      <c r="C101" s="5">
        <v>20000</v>
      </c>
      <c r="D101" s="35" t="s">
        <v>229</v>
      </c>
    </row>
    <row r="102" spans="1:5" x14ac:dyDescent="0.25">
      <c r="B102" t="s">
        <v>28</v>
      </c>
      <c r="C102" s="5">
        <v>20000</v>
      </c>
      <c r="D102" s="35" t="s">
        <v>229</v>
      </c>
    </row>
    <row r="103" spans="1:5" x14ac:dyDescent="0.25">
      <c r="B103" t="s">
        <v>29</v>
      </c>
      <c r="C103" s="5">
        <v>5000</v>
      </c>
      <c r="D103" s="35" t="s">
        <v>229</v>
      </c>
    </row>
    <row r="104" spans="1:5" x14ac:dyDescent="0.25">
      <c r="B104" t="s">
        <v>171</v>
      </c>
      <c r="C104" s="5">
        <v>30000</v>
      </c>
      <c r="D104" s="35" t="s">
        <v>229</v>
      </c>
    </row>
    <row r="105" spans="1:5" x14ac:dyDescent="0.25">
      <c r="B105" t="s">
        <v>172</v>
      </c>
      <c r="C105" s="5">
        <v>20000</v>
      </c>
      <c r="D105" s="35" t="s">
        <v>229</v>
      </c>
    </row>
    <row r="106" spans="1:5" x14ac:dyDescent="0.25">
      <c r="B106" t="s">
        <v>173</v>
      </c>
      <c r="C106" s="5">
        <v>20000</v>
      </c>
      <c r="D106" s="35" t="s">
        <v>229</v>
      </c>
    </row>
    <row r="107" spans="1:5" x14ac:dyDescent="0.25">
      <c r="B107" t="s">
        <v>31</v>
      </c>
      <c r="C107" s="5">
        <v>100000</v>
      </c>
      <c r="D107" s="43" t="s">
        <v>295</v>
      </c>
    </row>
    <row r="108" spans="1:5" x14ac:dyDescent="0.25">
      <c r="B108" t="s">
        <v>30</v>
      </c>
      <c r="C108" s="5">
        <v>50000</v>
      </c>
      <c r="D108" s="35" t="s">
        <v>229</v>
      </c>
    </row>
    <row r="109" spans="1:5" x14ac:dyDescent="0.25">
      <c r="B109" t="s">
        <v>25</v>
      </c>
      <c r="C109" s="5">
        <v>0</v>
      </c>
      <c r="D109" s="43"/>
    </row>
    <row r="110" spans="1:5" x14ac:dyDescent="0.25">
      <c r="B110" t="s">
        <v>26</v>
      </c>
      <c r="C110" s="5">
        <v>0</v>
      </c>
      <c r="D110" s="43"/>
    </row>
    <row r="111" spans="1:5" x14ac:dyDescent="0.25">
      <c r="B111" t="s">
        <v>460</v>
      </c>
      <c r="C111" s="5">
        <v>0</v>
      </c>
      <c r="D111" s="43"/>
    </row>
    <row r="112" spans="1:5" x14ac:dyDescent="0.25">
      <c r="B112" t="s">
        <v>420</v>
      </c>
      <c r="C112" s="5">
        <v>10000</v>
      </c>
      <c r="D112" s="35" t="s">
        <v>421</v>
      </c>
    </row>
    <row r="113" spans="1:4" x14ac:dyDescent="0.25">
      <c r="C113" s="5"/>
    </row>
    <row r="114" spans="1:4" x14ac:dyDescent="0.25">
      <c r="C114" s="5"/>
    </row>
    <row r="115" spans="1:4" x14ac:dyDescent="0.25">
      <c r="C115" s="5"/>
    </row>
    <row r="116" spans="1:4" x14ac:dyDescent="0.25">
      <c r="C116" s="5"/>
    </row>
    <row r="117" spans="1:4" x14ac:dyDescent="0.25">
      <c r="C117" s="5"/>
    </row>
    <row r="118" spans="1:4" x14ac:dyDescent="0.25">
      <c r="C118" s="5"/>
    </row>
    <row r="119" spans="1:4" x14ac:dyDescent="0.25">
      <c r="C119" s="5"/>
    </row>
    <row r="120" spans="1:4" x14ac:dyDescent="0.25">
      <c r="C120" s="5"/>
    </row>
    <row r="121" spans="1:4" x14ac:dyDescent="0.25">
      <c r="C121" s="5"/>
    </row>
    <row r="123" spans="1:4" x14ac:dyDescent="0.25">
      <c r="B123" s="8" t="s">
        <v>414</v>
      </c>
      <c r="C123" s="14"/>
      <c r="D123" s="8" t="s">
        <v>415</v>
      </c>
    </row>
    <row r="125" spans="1:4" x14ac:dyDescent="0.25">
      <c r="B125" s="8" t="s">
        <v>32</v>
      </c>
      <c r="C125" s="9">
        <f>IF(C123&gt;0,C123,SUM(C101:C121))</f>
        <v>275000</v>
      </c>
    </row>
    <row r="126" spans="1:4" x14ac:dyDescent="0.25">
      <c r="B126" s="8"/>
    </row>
    <row r="127" spans="1:4" x14ac:dyDescent="0.25">
      <c r="A127" t="s">
        <v>21</v>
      </c>
      <c r="B127" s="1" t="s">
        <v>74</v>
      </c>
      <c r="C127" s="8" t="s">
        <v>309</v>
      </c>
    </row>
    <row r="128" spans="1:4" x14ac:dyDescent="0.25">
      <c r="B128" t="s">
        <v>75</v>
      </c>
      <c r="C128" s="38">
        <f>'Operating Expense Assumptions'!C47/12*E130</f>
        <v>17500</v>
      </c>
    </row>
    <row r="129" spans="2:5" x14ac:dyDescent="0.25">
      <c r="B129" t="s">
        <v>76</v>
      </c>
      <c r="C129" s="38">
        <f>E130*'Lease Information'!C3</f>
        <v>0</v>
      </c>
      <c r="E129" t="s">
        <v>156</v>
      </c>
    </row>
    <row r="130" spans="2:5" x14ac:dyDescent="0.25">
      <c r="B130" t="s">
        <v>77</v>
      </c>
      <c r="C130" s="38">
        <f>'Operating Expense Assumptions'!C49/12*E130</f>
        <v>12500</v>
      </c>
      <c r="E130" s="11">
        <v>3</v>
      </c>
    </row>
    <row r="131" spans="2:5" x14ac:dyDescent="0.25">
      <c r="B131" t="s">
        <v>174</v>
      </c>
      <c r="C131" s="38">
        <f>'Operating Expense Assumptions'!C50/12*E130</f>
        <v>250</v>
      </c>
    </row>
    <row r="132" spans="2:5" x14ac:dyDescent="0.25">
      <c r="B132" t="s">
        <v>78</v>
      </c>
      <c r="C132" s="38">
        <f>'Operating Expense Assumptions'!C51/12*E130</f>
        <v>52335.5</v>
      </c>
    </row>
    <row r="133" spans="2:5" x14ac:dyDescent="0.25">
      <c r="B133" t="s">
        <v>79</v>
      </c>
      <c r="C133" s="38">
        <f>'Operating Expense Assumptions'!C52/12*E130</f>
        <v>0</v>
      </c>
    </row>
    <row r="134" spans="2:5" x14ac:dyDescent="0.25">
      <c r="B134" t="s">
        <v>80</v>
      </c>
      <c r="C134" s="38">
        <f>'Operating Expense Assumptions'!C53/12*E130</f>
        <v>0</v>
      </c>
    </row>
    <row r="135" spans="2:5" x14ac:dyDescent="0.25">
      <c r="C135" s="5"/>
    </row>
    <row r="136" spans="2:5" x14ac:dyDescent="0.25">
      <c r="C136" s="5"/>
    </row>
    <row r="137" spans="2:5" x14ac:dyDescent="0.25">
      <c r="C137" s="5"/>
    </row>
    <row r="138" spans="2:5" x14ac:dyDescent="0.25">
      <c r="C138" s="5"/>
    </row>
    <row r="139" spans="2:5" x14ac:dyDescent="0.25">
      <c r="C139" s="5"/>
    </row>
    <row r="140" spans="2:5" x14ac:dyDescent="0.25">
      <c r="C140" s="5"/>
    </row>
    <row r="141" spans="2:5" x14ac:dyDescent="0.25">
      <c r="C141" s="5"/>
    </row>
    <row r="142" spans="2:5" x14ac:dyDescent="0.25">
      <c r="C142" s="5"/>
    </row>
    <row r="143" spans="2:5" x14ac:dyDescent="0.25">
      <c r="C143" s="5"/>
    </row>
    <row r="144" spans="2:5" x14ac:dyDescent="0.25">
      <c r="B144" s="8"/>
    </row>
    <row r="145" spans="1:5" x14ac:dyDescent="0.25">
      <c r="B145" s="8" t="s">
        <v>81</v>
      </c>
      <c r="C145" s="6">
        <f>SUM(C128:C143)</f>
        <v>82585.5</v>
      </c>
    </row>
    <row r="147" spans="1:5" x14ac:dyDescent="0.25">
      <c r="B147" s="8"/>
    </row>
    <row r="148" spans="1:5" x14ac:dyDescent="0.25">
      <c r="A148" t="s">
        <v>21</v>
      </c>
      <c r="B148" s="1" t="s">
        <v>176</v>
      </c>
      <c r="C148" s="5">
        <v>40000</v>
      </c>
      <c r="D148" s="35" t="s">
        <v>300</v>
      </c>
    </row>
    <row r="149" spans="1:5" x14ac:dyDescent="0.25">
      <c r="B149" s="8"/>
    </row>
    <row r="150" spans="1:5" x14ac:dyDescent="0.25">
      <c r="A150" t="s">
        <v>21</v>
      </c>
      <c r="B150" s="1" t="s">
        <v>67</v>
      </c>
    </row>
    <row r="151" spans="1:5" x14ac:dyDescent="0.25">
      <c r="B151" t="s">
        <v>424</v>
      </c>
      <c r="C151" s="5">
        <v>40000</v>
      </c>
    </row>
    <row r="152" spans="1:5" x14ac:dyDescent="0.25">
      <c r="B152" t="s">
        <v>425</v>
      </c>
      <c r="C152" s="38">
        <f>C151*E152</f>
        <v>4800</v>
      </c>
      <c r="D152" t="s">
        <v>177</v>
      </c>
      <c r="E152" s="24">
        <v>0.12</v>
      </c>
    </row>
    <row r="153" spans="1:5" x14ac:dyDescent="0.25">
      <c r="B153" t="s">
        <v>426</v>
      </c>
      <c r="C153" s="11">
        <v>6</v>
      </c>
    </row>
    <row r="154" spans="1:5" x14ac:dyDescent="0.25">
      <c r="B154" t="s">
        <v>427</v>
      </c>
      <c r="C154" s="11">
        <v>2</v>
      </c>
    </row>
    <row r="155" spans="1:5" x14ac:dyDescent="0.25">
      <c r="B155" s="8" t="s">
        <v>428</v>
      </c>
      <c r="C155" s="9">
        <f>(C151/52)+(C152/52)*C153*C154</f>
        <v>1876.9230769230769</v>
      </c>
    </row>
    <row r="156" spans="1:5" x14ac:dyDescent="0.25">
      <c r="B156" s="8"/>
    </row>
    <row r="157" spans="1:5" x14ac:dyDescent="0.25">
      <c r="B157" t="s">
        <v>37</v>
      </c>
      <c r="C157" s="5">
        <v>36000</v>
      </c>
    </row>
    <row r="158" spans="1:5" x14ac:dyDescent="0.25">
      <c r="B158" t="s">
        <v>39</v>
      </c>
      <c r="C158" s="38">
        <f>C157*E158</f>
        <v>4320</v>
      </c>
      <c r="D158" t="s">
        <v>177</v>
      </c>
      <c r="E158" s="24">
        <v>0.12</v>
      </c>
    </row>
    <row r="159" spans="1:5" x14ac:dyDescent="0.25">
      <c r="B159" t="s">
        <v>38</v>
      </c>
      <c r="C159" s="11">
        <v>6</v>
      </c>
    </row>
    <row r="160" spans="1:5" x14ac:dyDescent="0.25">
      <c r="B160" t="s">
        <v>40</v>
      </c>
      <c r="C160" s="11">
        <v>4</v>
      </c>
    </row>
    <row r="161" spans="2:5" x14ac:dyDescent="0.25">
      <c r="B161" s="8" t="s">
        <v>41</v>
      </c>
      <c r="C161" s="9">
        <f>(C157/52)+(C158/52)*C159*C160</f>
        <v>2686.1538461538462</v>
      </c>
    </row>
    <row r="163" spans="2:5" x14ac:dyDescent="0.25">
      <c r="B163" t="s">
        <v>42</v>
      </c>
      <c r="C163" s="5">
        <v>12</v>
      </c>
    </row>
    <row r="164" spans="2:5" x14ac:dyDescent="0.25">
      <c r="B164" t="s">
        <v>178</v>
      </c>
      <c r="C164" s="11">
        <v>160</v>
      </c>
    </row>
    <row r="165" spans="2:5" x14ac:dyDescent="0.25">
      <c r="B165" t="s">
        <v>43</v>
      </c>
      <c r="C165" s="38">
        <f>C163*C164*E165</f>
        <v>230.39999999999998</v>
      </c>
      <c r="D165" t="s">
        <v>177</v>
      </c>
      <c r="E165" s="24">
        <v>0.12</v>
      </c>
    </row>
    <row r="166" spans="2:5" x14ac:dyDescent="0.25">
      <c r="B166" t="s">
        <v>44</v>
      </c>
      <c r="C166" s="11">
        <v>4</v>
      </c>
    </row>
    <row r="167" spans="2:5" x14ac:dyDescent="0.25">
      <c r="B167" s="8" t="s">
        <v>45</v>
      </c>
      <c r="C167" s="9">
        <f>(C164*C163+C165)*C166</f>
        <v>8601.6</v>
      </c>
    </row>
    <row r="169" spans="2:5" x14ac:dyDescent="0.25">
      <c r="B169" t="s">
        <v>46</v>
      </c>
      <c r="C169" s="5">
        <v>10</v>
      </c>
    </row>
    <row r="170" spans="2:5" x14ac:dyDescent="0.25">
      <c r="B170" t="s">
        <v>179</v>
      </c>
      <c r="C170" s="11">
        <v>400</v>
      </c>
    </row>
    <row r="171" spans="2:5" x14ac:dyDescent="0.25">
      <c r="B171" t="s">
        <v>47</v>
      </c>
      <c r="C171" s="38">
        <f>C169*C170*E171</f>
        <v>480</v>
      </c>
      <c r="D171" t="s">
        <v>177</v>
      </c>
      <c r="E171" s="24">
        <v>0.12</v>
      </c>
    </row>
    <row r="172" spans="2:5" x14ac:dyDescent="0.25">
      <c r="B172" t="s">
        <v>48</v>
      </c>
      <c r="C172" s="11">
        <v>2</v>
      </c>
    </row>
    <row r="173" spans="2:5" x14ac:dyDescent="0.25">
      <c r="B173" s="8" t="s">
        <v>49</v>
      </c>
      <c r="C173" s="9">
        <f>(C170*C169+C171)*C172</f>
        <v>8960</v>
      </c>
    </row>
    <row r="174" spans="2:5" x14ac:dyDescent="0.25">
      <c r="B174" s="8"/>
    </row>
    <row r="175" spans="2:5" x14ac:dyDescent="0.25">
      <c r="B175" t="s">
        <v>429</v>
      </c>
      <c r="C175" s="5"/>
    </row>
    <row r="176" spans="2:5" x14ac:dyDescent="0.25">
      <c r="B176" t="s">
        <v>430</v>
      </c>
      <c r="C176" s="38">
        <f>C175*E176</f>
        <v>0</v>
      </c>
      <c r="D176" t="s">
        <v>177</v>
      </c>
      <c r="E176" s="24"/>
    </row>
    <row r="177" spans="2:5" x14ac:dyDescent="0.25">
      <c r="B177" t="s">
        <v>431</v>
      </c>
      <c r="C177" s="11"/>
    </row>
    <row r="178" spans="2:5" x14ac:dyDescent="0.25">
      <c r="B178" t="s">
        <v>432</v>
      </c>
      <c r="C178" s="11"/>
    </row>
    <row r="179" spans="2:5" x14ac:dyDescent="0.25">
      <c r="B179" s="8" t="s">
        <v>433</v>
      </c>
      <c r="C179" s="9">
        <f>(C175/52)+(C176/52)*C177*C178</f>
        <v>0</v>
      </c>
    </row>
    <row r="180" spans="2:5" x14ac:dyDescent="0.25">
      <c r="B180" s="8"/>
    </row>
    <row r="181" spans="2:5" x14ac:dyDescent="0.25">
      <c r="B181" t="s">
        <v>429</v>
      </c>
      <c r="C181" s="5"/>
    </row>
    <row r="182" spans="2:5" x14ac:dyDescent="0.25">
      <c r="B182" t="s">
        <v>430</v>
      </c>
      <c r="C182" s="38">
        <f>C181*E182</f>
        <v>0</v>
      </c>
      <c r="D182" t="s">
        <v>177</v>
      </c>
      <c r="E182" s="24"/>
    </row>
    <row r="183" spans="2:5" x14ac:dyDescent="0.25">
      <c r="B183" t="s">
        <v>431</v>
      </c>
      <c r="C183" s="11"/>
    </row>
    <row r="184" spans="2:5" x14ac:dyDescent="0.25">
      <c r="B184" t="s">
        <v>432</v>
      </c>
      <c r="C184" s="11"/>
    </row>
    <row r="185" spans="2:5" x14ac:dyDescent="0.25">
      <c r="B185" s="8" t="s">
        <v>433</v>
      </c>
      <c r="C185" s="9">
        <f>(C181/52)+(C182/52)*C183*C184</f>
        <v>0</v>
      </c>
    </row>
    <row r="186" spans="2:5" x14ac:dyDescent="0.25">
      <c r="B186" s="8"/>
    </row>
    <row r="187" spans="2:5" x14ac:dyDescent="0.25">
      <c r="B187" t="s">
        <v>195</v>
      </c>
      <c r="C187" s="5"/>
    </row>
    <row r="188" spans="2:5" x14ac:dyDescent="0.25">
      <c r="B188" t="s">
        <v>196</v>
      </c>
      <c r="C188" s="11"/>
    </row>
    <row r="189" spans="2:5" x14ac:dyDescent="0.25">
      <c r="B189" t="s">
        <v>197</v>
      </c>
      <c r="C189" s="38">
        <f>C187*C188*E189</f>
        <v>0</v>
      </c>
      <c r="D189" t="s">
        <v>177</v>
      </c>
      <c r="E189" s="24"/>
    </row>
    <row r="190" spans="2:5" x14ac:dyDescent="0.25">
      <c r="B190" t="s">
        <v>199</v>
      </c>
      <c r="C190" s="11"/>
    </row>
    <row r="191" spans="2:5" x14ac:dyDescent="0.25">
      <c r="B191" s="8" t="s">
        <v>200</v>
      </c>
      <c r="C191" s="9">
        <f>(C188*C187+C189)*C190</f>
        <v>0</v>
      </c>
    </row>
    <row r="192" spans="2:5" x14ac:dyDescent="0.25">
      <c r="B192" s="8"/>
    </row>
    <row r="193" spans="1:5" x14ac:dyDescent="0.25">
      <c r="B193" t="s">
        <v>195</v>
      </c>
      <c r="C193" s="5"/>
    </row>
    <row r="194" spans="1:5" x14ac:dyDescent="0.25">
      <c r="B194" t="s">
        <v>196</v>
      </c>
      <c r="C194" s="11"/>
    </row>
    <row r="195" spans="1:5" x14ac:dyDescent="0.25">
      <c r="B195" t="s">
        <v>197</v>
      </c>
      <c r="C195" s="38">
        <f>C193*C194*E195</f>
        <v>0</v>
      </c>
      <c r="D195" t="s">
        <v>177</v>
      </c>
      <c r="E195" s="24"/>
    </row>
    <row r="196" spans="1:5" x14ac:dyDescent="0.25">
      <c r="B196" t="s">
        <v>199</v>
      </c>
      <c r="C196" s="11"/>
    </row>
    <row r="197" spans="1:5" x14ac:dyDescent="0.25">
      <c r="B197" s="8" t="s">
        <v>200</v>
      </c>
      <c r="C197" s="9">
        <f>(C194*C193+C195)*C196</f>
        <v>0</v>
      </c>
    </row>
    <row r="199" spans="1:5" x14ac:dyDescent="0.25">
      <c r="B199" s="8" t="s">
        <v>72</v>
      </c>
      <c r="C199" s="9">
        <f>SUM(C173,C167,C161,C191,C197,C185,C179,C155)</f>
        <v>22124.676923076924</v>
      </c>
    </row>
    <row r="201" spans="1:5" x14ac:dyDescent="0.25">
      <c r="A201" t="s">
        <v>21</v>
      </c>
      <c r="B201" s="12" t="s">
        <v>50</v>
      </c>
      <c r="C201" s="13">
        <f>IF(C6="option 2",SUM(C199,C16,C125,C98,C64,C145,C148),C20)</f>
        <v>400000</v>
      </c>
      <c r="D201" s="8" t="s">
        <v>316</v>
      </c>
      <c r="E201" s="67">
        <f>IF(C6="option 2",SUM(E98,E64),0.025*C20)</f>
        <v>10000</v>
      </c>
    </row>
    <row r="202" spans="1:5" x14ac:dyDescent="0.25">
      <c r="D202" t="s">
        <v>434</v>
      </c>
    </row>
    <row r="203" spans="1:5" x14ac:dyDescent="0.25">
      <c r="D203" t="s">
        <v>317</v>
      </c>
    </row>
  </sheetData>
  <mergeCells count="1">
    <mergeCell ref="B1:F1"/>
  </mergeCells>
  <dataValidations count="1">
    <dataValidation type="list" allowBlank="1" showInputMessage="1" showErrorMessage="1" sqref="C6" xr:uid="{C2D98947-B515-4267-81E3-83C7D700D2E9}">
      <formula1>"Option 1,Option 2"</formula1>
    </dataValidation>
  </dataValidations>
  <pageMargins left="0.7" right="0.7" top="0.75" bottom="0.75" header="0.3" footer="0.3"/>
  <pageSetup orientation="portrait" r:id="rId1"/>
  <headerFooter>
    <oddFooter>&amp;R&amp;8Created by: Fair Food Network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EFFC-9BB4-4C19-8531-6FAF2A07E0B5}">
  <sheetPr>
    <tabColor theme="7"/>
  </sheetPr>
  <dimension ref="A1:F92"/>
  <sheetViews>
    <sheetView workbookViewId="0">
      <selection activeCell="B1" sqref="B1:F1"/>
    </sheetView>
  </sheetViews>
  <sheetFormatPr defaultColWidth="8.85546875" defaultRowHeight="15" x14ac:dyDescent="0.25"/>
  <cols>
    <col min="1" max="1" width="3.140625" customWidth="1"/>
    <col min="2" max="2" width="38.85546875" bestFit="1" customWidth="1"/>
    <col min="3" max="3" width="14.42578125" bestFit="1" customWidth="1"/>
    <col min="4" max="4" width="33.140625" customWidth="1"/>
    <col min="5" max="5" width="10.42578125" customWidth="1"/>
  </cols>
  <sheetData>
    <row r="1" spans="1:6" x14ac:dyDescent="0.25">
      <c r="A1" t="s">
        <v>21</v>
      </c>
      <c r="B1" s="96" t="s">
        <v>52</v>
      </c>
      <c r="C1" s="96"/>
      <c r="D1" s="96"/>
      <c r="E1" s="96"/>
      <c r="F1" s="96"/>
    </row>
    <row r="3" spans="1:6" x14ac:dyDescent="0.25">
      <c r="B3" s="1" t="s">
        <v>83</v>
      </c>
    </row>
    <row r="4" spans="1:6" x14ac:dyDescent="0.25">
      <c r="B4" t="s">
        <v>424</v>
      </c>
      <c r="C4" s="5">
        <v>40000</v>
      </c>
    </row>
    <row r="5" spans="1:6" x14ac:dyDescent="0.25">
      <c r="B5" t="s">
        <v>425</v>
      </c>
      <c r="C5" s="38">
        <f>C4*E5</f>
        <v>4800</v>
      </c>
      <c r="D5" t="s">
        <v>177</v>
      </c>
      <c r="E5" s="24">
        <v>0.12</v>
      </c>
    </row>
    <row r="6" spans="1:6" x14ac:dyDescent="0.25">
      <c r="B6" t="s">
        <v>427</v>
      </c>
      <c r="C6" s="11">
        <v>2</v>
      </c>
    </row>
    <row r="7" spans="1:6" x14ac:dyDescent="0.25">
      <c r="B7" s="8" t="s">
        <v>435</v>
      </c>
      <c r="C7" s="9">
        <f>SUM(C4:C5)*C6</f>
        <v>89600</v>
      </c>
    </row>
    <row r="9" spans="1:6" x14ac:dyDescent="0.25">
      <c r="B9" t="s">
        <v>37</v>
      </c>
      <c r="C9" s="5">
        <v>36000</v>
      </c>
    </row>
    <row r="10" spans="1:6" x14ac:dyDescent="0.25">
      <c r="B10" t="s">
        <v>39</v>
      </c>
      <c r="C10" s="38">
        <f>C9*E10</f>
        <v>4320</v>
      </c>
      <c r="D10" t="s">
        <v>177</v>
      </c>
      <c r="E10" s="24">
        <v>0.12</v>
      </c>
    </row>
    <row r="11" spans="1:6" x14ac:dyDescent="0.25">
      <c r="B11" t="s">
        <v>40</v>
      </c>
      <c r="C11" s="11">
        <v>4</v>
      </c>
    </row>
    <row r="12" spans="1:6" x14ac:dyDescent="0.25">
      <c r="B12" s="8" t="s">
        <v>71</v>
      </c>
      <c r="C12" s="9">
        <f>SUM(C9:C10)*C11</f>
        <v>161280</v>
      </c>
    </row>
    <row r="14" spans="1:6" x14ac:dyDescent="0.25">
      <c r="B14" t="s">
        <v>42</v>
      </c>
      <c r="C14" s="5">
        <v>12</v>
      </c>
    </row>
    <row r="15" spans="1:6" x14ac:dyDescent="0.25">
      <c r="B15" t="s">
        <v>178</v>
      </c>
      <c r="C15" s="11">
        <v>160</v>
      </c>
    </row>
    <row r="16" spans="1:6" x14ac:dyDescent="0.25">
      <c r="B16" t="s">
        <v>43</v>
      </c>
      <c r="C16" s="38">
        <f>C14*C15*E16</f>
        <v>230.39999999999998</v>
      </c>
      <c r="D16" t="s">
        <v>177</v>
      </c>
      <c r="E16" s="24">
        <v>0.12</v>
      </c>
    </row>
    <row r="17" spans="2:5" x14ac:dyDescent="0.25">
      <c r="B17" s="8" t="s">
        <v>180</v>
      </c>
      <c r="C17" s="9">
        <f>(C14*C15+C16)*52</f>
        <v>111820.8</v>
      </c>
    </row>
    <row r="19" spans="2:5" x14ac:dyDescent="0.25">
      <c r="B19" t="s">
        <v>46</v>
      </c>
      <c r="C19" s="5">
        <v>10</v>
      </c>
    </row>
    <row r="20" spans="2:5" x14ac:dyDescent="0.25">
      <c r="B20" t="s">
        <v>179</v>
      </c>
      <c r="C20" s="11">
        <v>400</v>
      </c>
    </row>
    <row r="21" spans="2:5" x14ac:dyDescent="0.25">
      <c r="B21" t="s">
        <v>47</v>
      </c>
      <c r="C21" s="38">
        <f>C19*C20*E21</f>
        <v>480</v>
      </c>
      <c r="D21" t="s">
        <v>177</v>
      </c>
      <c r="E21" s="24">
        <v>0.12</v>
      </c>
    </row>
    <row r="22" spans="2:5" x14ac:dyDescent="0.25">
      <c r="B22" s="8" t="s">
        <v>181</v>
      </c>
      <c r="C22" s="9">
        <f>(C19*C20+C21)*52</f>
        <v>232960</v>
      </c>
    </row>
    <row r="23" spans="2:5" x14ac:dyDescent="0.25">
      <c r="B23" s="8"/>
    </row>
    <row r="24" spans="2:5" x14ac:dyDescent="0.25">
      <c r="B24" t="s">
        <v>429</v>
      </c>
      <c r="C24" s="5"/>
    </row>
    <row r="25" spans="2:5" x14ac:dyDescent="0.25">
      <c r="B25" t="s">
        <v>430</v>
      </c>
      <c r="C25" s="38">
        <f>C24*E25</f>
        <v>0</v>
      </c>
      <c r="D25" t="s">
        <v>177</v>
      </c>
      <c r="E25" s="24"/>
    </row>
    <row r="26" spans="2:5" x14ac:dyDescent="0.25">
      <c r="B26" t="s">
        <v>432</v>
      </c>
      <c r="C26" s="11"/>
    </row>
    <row r="27" spans="2:5" x14ac:dyDescent="0.25">
      <c r="B27" s="8" t="s">
        <v>436</v>
      </c>
      <c r="C27" s="9">
        <f>SUM(C24:C25)*C26</f>
        <v>0</v>
      </c>
    </row>
    <row r="29" spans="2:5" x14ac:dyDescent="0.25">
      <c r="B29" t="s">
        <v>429</v>
      </c>
      <c r="C29" s="5"/>
    </row>
    <row r="30" spans="2:5" x14ac:dyDescent="0.25">
      <c r="B30" t="s">
        <v>430</v>
      </c>
      <c r="C30" s="38">
        <f>C29*E30</f>
        <v>0</v>
      </c>
      <c r="D30" t="s">
        <v>177</v>
      </c>
      <c r="E30" s="24"/>
    </row>
    <row r="31" spans="2:5" x14ac:dyDescent="0.25">
      <c r="B31" t="s">
        <v>432</v>
      </c>
      <c r="C31" s="11"/>
    </row>
    <row r="32" spans="2:5" x14ac:dyDescent="0.25">
      <c r="B32" s="8" t="s">
        <v>436</v>
      </c>
      <c r="C32" s="9">
        <f>SUM(C29:C30)*C31</f>
        <v>0</v>
      </c>
    </row>
    <row r="34" spans="1:5" x14ac:dyDescent="0.25">
      <c r="B34" t="s">
        <v>195</v>
      </c>
      <c r="C34" s="5"/>
    </row>
    <row r="35" spans="1:5" x14ac:dyDescent="0.25">
      <c r="B35" t="s">
        <v>196</v>
      </c>
      <c r="C35" s="11"/>
    </row>
    <row r="36" spans="1:5" x14ac:dyDescent="0.25">
      <c r="B36" t="s">
        <v>197</v>
      </c>
      <c r="C36" s="38">
        <f>C34*C35*E36</f>
        <v>0</v>
      </c>
      <c r="D36" t="s">
        <v>177</v>
      </c>
      <c r="E36" s="24"/>
    </row>
    <row r="37" spans="1:5" x14ac:dyDescent="0.25">
      <c r="B37" s="8" t="s">
        <v>198</v>
      </c>
      <c r="C37" s="9">
        <f>(C34*C35+C36)*52</f>
        <v>0</v>
      </c>
    </row>
    <row r="38" spans="1:5" x14ac:dyDescent="0.25">
      <c r="B38" s="8"/>
    </row>
    <row r="39" spans="1:5" x14ac:dyDescent="0.25">
      <c r="B39" t="s">
        <v>195</v>
      </c>
      <c r="C39" s="5"/>
    </row>
    <row r="40" spans="1:5" x14ac:dyDescent="0.25">
      <c r="B40" t="s">
        <v>196</v>
      </c>
      <c r="C40" s="11"/>
    </row>
    <row r="41" spans="1:5" x14ac:dyDescent="0.25">
      <c r="B41" t="s">
        <v>197</v>
      </c>
      <c r="C41" s="38">
        <f>C39*C40*E41</f>
        <v>0</v>
      </c>
      <c r="D41" t="s">
        <v>177</v>
      </c>
      <c r="E41" s="24"/>
    </row>
    <row r="42" spans="1:5" x14ac:dyDescent="0.25">
      <c r="B42" s="8" t="s">
        <v>198</v>
      </c>
      <c r="C42" s="9">
        <f>(C39*C40+C41)*52</f>
        <v>0</v>
      </c>
    </row>
    <row r="43" spans="1:5" x14ac:dyDescent="0.25">
      <c r="B43" s="8"/>
    </row>
    <row r="44" spans="1:5" x14ac:dyDescent="0.25">
      <c r="B44" s="8" t="s">
        <v>73</v>
      </c>
      <c r="C44" s="9">
        <f>SUM(C22,C17,C12,C37,C42,C32,C27,C7)</f>
        <v>595660.80000000005</v>
      </c>
    </row>
    <row r="46" spans="1:5" x14ac:dyDescent="0.25">
      <c r="A46" t="s">
        <v>21</v>
      </c>
      <c r="B46" s="1" t="s">
        <v>416</v>
      </c>
      <c r="D46" s="8" t="s">
        <v>216</v>
      </c>
    </row>
    <row r="47" spans="1:5" x14ac:dyDescent="0.25">
      <c r="B47" t="s">
        <v>75</v>
      </c>
      <c r="C47" s="5">
        <v>70000</v>
      </c>
      <c r="D47" s="43" t="s">
        <v>218</v>
      </c>
    </row>
    <row r="48" spans="1:5" x14ac:dyDescent="0.25">
      <c r="B48" t="s">
        <v>76</v>
      </c>
      <c r="C48" s="5">
        <v>120000</v>
      </c>
      <c r="D48" s="43" t="s">
        <v>217</v>
      </c>
    </row>
    <row r="49" spans="2:4" x14ac:dyDescent="0.25">
      <c r="B49" t="s">
        <v>77</v>
      </c>
      <c r="C49" s="5">
        <v>50000</v>
      </c>
      <c r="D49" s="43" t="s">
        <v>218</v>
      </c>
    </row>
    <row r="50" spans="2:4" x14ac:dyDescent="0.25">
      <c r="B50" t="s">
        <v>437</v>
      </c>
      <c r="C50" s="5">
        <v>1000</v>
      </c>
      <c r="D50" s="35" t="s">
        <v>183</v>
      </c>
    </row>
    <row r="51" spans="2:4" x14ac:dyDescent="0.25">
      <c r="B51" t="s">
        <v>78</v>
      </c>
      <c r="C51" s="5">
        <v>209342</v>
      </c>
      <c r="D51" s="43" t="s">
        <v>218</v>
      </c>
    </row>
    <row r="52" spans="2:4" x14ac:dyDescent="0.25">
      <c r="B52" t="s">
        <v>417</v>
      </c>
      <c r="C52" s="5">
        <v>0</v>
      </c>
      <c r="D52" s="43"/>
    </row>
    <row r="53" spans="2:4" x14ac:dyDescent="0.25">
      <c r="B53" t="s">
        <v>80</v>
      </c>
      <c r="C53" s="5">
        <v>0</v>
      </c>
      <c r="D53" s="43"/>
    </row>
    <row r="54" spans="2:4" x14ac:dyDescent="0.25">
      <c r="B54" t="s">
        <v>418</v>
      </c>
      <c r="C54" s="5">
        <v>14000</v>
      </c>
      <c r="D54" s="43" t="s">
        <v>218</v>
      </c>
    </row>
    <row r="55" spans="2:4" x14ac:dyDescent="0.25">
      <c r="B55" t="s">
        <v>419</v>
      </c>
      <c r="C55" s="5">
        <f>'Start-Up Expense Assumptions'!$E$201</f>
        <v>10000</v>
      </c>
      <c r="D55" s="43" t="s">
        <v>320</v>
      </c>
    </row>
    <row r="56" spans="2:4" x14ac:dyDescent="0.25">
      <c r="C56" s="5"/>
      <c r="D56" s="35"/>
    </row>
    <row r="57" spans="2:4" x14ac:dyDescent="0.25">
      <c r="C57" s="5"/>
      <c r="D57" s="35"/>
    </row>
    <row r="58" spans="2:4" x14ac:dyDescent="0.25">
      <c r="C58" s="5"/>
      <c r="D58" s="35"/>
    </row>
    <row r="59" spans="2:4" x14ac:dyDescent="0.25">
      <c r="C59" s="5"/>
      <c r="D59" s="35"/>
    </row>
    <row r="60" spans="2:4" x14ac:dyDescent="0.25">
      <c r="C60" s="5"/>
      <c r="D60" s="35"/>
    </row>
    <row r="61" spans="2:4" x14ac:dyDescent="0.25">
      <c r="C61" s="5"/>
      <c r="D61" s="35"/>
    </row>
    <row r="62" spans="2:4" x14ac:dyDescent="0.25">
      <c r="C62" s="5"/>
      <c r="D62" s="35"/>
    </row>
    <row r="63" spans="2:4" x14ac:dyDescent="0.25">
      <c r="C63" s="5"/>
      <c r="D63" s="35"/>
    </row>
    <row r="64" spans="2:4" x14ac:dyDescent="0.25">
      <c r="C64" s="5"/>
      <c r="D64" s="35"/>
    </row>
    <row r="66" spans="1:4" x14ac:dyDescent="0.25">
      <c r="B66" s="8" t="s">
        <v>82</v>
      </c>
      <c r="C66" s="9">
        <f>SUM(C47:C64)</f>
        <v>474342</v>
      </c>
    </row>
    <row r="67" spans="1:4" x14ac:dyDescent="0.25">
      <c r="B67" s="8"/>
    </row>
    <row r="68" spans="1:4" x14ac:dyDescent="0.25">
      <c r="A68" t="s">
        <v>21</v>
      </c>
      <c r="B68" s="1" t="s">
        <v>184</v>
      </c>
      <c r="C68" s="38">
        <f>'Revenue Assumptions'!D46-'Revenue Assumptions'!F46</f>
        <v>1003766.4</v>
      </c>
    </row>
    <row r="70" spans="1:4" x14ac:dyDescent="0.25">
      <c r="A70" t="s">
        <v>21</v>
      </c>
      <c r="B70" s="1" t="s">
        <v>157</v>
      </c>
      <c r="D70" s="8" t="s">
        <v>216</v>
      </c>
    </row>
    <row r="71" spans="1:4" x14ac:dyDescent="0.25">
      <c r="B71" s="21" t="s">
        <v>85</v>
      </c>
      <c r="C71" s="5">
        <v>25000</v>
      </c>
      <c r="D71" s="35" t="s">
        <v>301</v>
      </c>
    </row>
    <row r="72" spans="1:4" x14ac:dyDescent="0.25">
      <c r="B72" s="21" t="s">
        <v>86</v>
      </c>
      <c r="C72" s="5">
        <v>10000</v>
      </c>
      <c r="D72" t="s">
        <v>218</v>
      </c>
    </row>
    <row r="73" spans="1:4" x14ac:dyDescent="0.25">
      <c r="B73" s="21" t="s">
        <v>87</v>
      </c>
      <c r="C73" s="5">
        <v>5000</v>
      </c>
      <c r="D73" t="s">
        <v>218</v>
      </c>
    </row>
    <row r="74" spans="1:4" x14ac:dyDescent="0.25">
      <c r="B74" s="21" t="s">
        <v>182</v>
      </c>
      <c r="C74" s="5">
        <v>5000</v>
      </c>
      <c r="D74" s="35" t="s">
        <v>183</v>
      </c>
    </row>
    <row r="75" spans="1:4" x14ac:dyDescent="0.25">
      <c r="B75" s="21" t="s">
        <v>438</v>
      </c>
      <c r="C75" s="5">
        <v>5000</v>
      </c>
      <c r="D75" s="35" t="s">
        <v>183</v>
      </c>
    </row>
    <row r="76" spans="1:4" x14ac:dyDescent="0.25">
      <c r="B76" s="21" t="s">
        <v>88</v>
      </c>
      <c r="C76" s="5">
        <v>15000</v>
      </c>
      <c r="D76" t="s">
        <v>218</v>
      </c>
    </row>
    <row r="77" spans="1:4" x14ac:dyDescent="0.25">
      <c r="B77" s="21" t="s">
        <v>89</v>
      </c>
      <c r="C77" s="5">
        <v>6000</v>
      </c>
      <c r="D77" t="s">
        <v>218</v>
      </c>
    </row>
    <row r="78" spans="1:4" x14ac:dyDescent="0.25">
      <c r="B78" s="21" t="s">
        <v>90</v>
      </c>
      <c r="C78" s="5">
        <v>10000</v>
      </c>
      <c r="D78" t="s">
        <v>218</v>
      </c>
    </row>
    <row r="79" spans="1:4" x14ac:dyDescent="0.25">
      <c r="B79" s="21" t="s">
        <v>322</v>
      </c>
      <c r="C79" s="5">
        <f>'Financing Assumptions'!O6</f>
        <v>0</v>
      </c>
      <c r="D79" t="s">
        <v>321</v>
      </c>
    </row>
    <row r="80" spans="1:4" x14ac:dyDescent="0.25">
      <c r="B80" s="21" t="s">
        <v>84</v>
      </c>
      <c r="C80" s="5">
        <v>0</v>
      </c>
    </row>
    <row r="81" spans="2:3" x14ac:dyDescent="0.25">
      <c r="B81" s="21"/>
      <c r="C81" s="5"/>
    </row>
    <row r="82" spans="2:3" x14ac:dyDescent="0.25">
      <c r="B82" s="21"/>
      <c r="C82" s="5"/>
    </row>
    <row r="83" spans="2:3" x14ac:dyDescent="0.25">
      <c r="B83" s="21"/>
      <c r="C83" s="5"/>
    </row>
    <row r="84" spans="2:3" x14ac:dyDescent="0.25">
      <c r="B84" s="21"/>
      <c r="C84" s="5"/>
    </row>
    <row r="85" spans="2:3" x14ac:dyDescent="0.25">
      <c r="B85" s="21"/>
      <c r="C85" s="5"/>
    </row>
    <row r="86" spans="2:3" x14ac:dyDescent="0.25">
      <c r="B86" s="21"/>
      <c r="C86" s="5"/>
    </row>
    <row r="87" spans="2:3" x14ac:dyDescent="0.25">
      <c r="B87" s="21"/>
      <c r="C87" s="5"/>
    </row>
    <row r="88" spans="2:3" x14ac:dyDescent="0.25">
      <c r="B88" s="21"/>
      <c r="C88" s="5"/>
    </row>
    <row r="90" spans="2:3" x14ac:dyDescent="0.25">
      <c r="B90" s="8" t="s">
        <v>91</v>
      </c>
      <c r="C90" s="9">
        <f>SUM(C71:C88)</f>
        <v>81000</v>
      </c>
    </row>
    <row r="91" spans="2:3" x14ac:dyDescent="0.25">
      <c r="B91" s="8"/>
    </row>
    <row r="92" spans="2:3" x14ac:dyDescent="0.25">
      <c r="B92" s="12" t="s">
        <v>110</v>
      </c>
      <c r="C92" s="13">
        <f>SUM(C90,C66,C44,C68)</f>
        <v>2154769.2000000002</v>
      </c>
    </row>
  </sheetData>
  <mergeCells count="1">
    <mergeCell ref="B1:F1"/>
  </mergeCells>
  <pageMargins left="0.7" right="0.7" top="0.75" bottom="0.75" header="0.3" footer="0.3"/>
  <pageSetup orientation="portrait" r:id="rId1"/>
  <headerFooter>
    <oddFooter>&amp;R&amp;8Created by: Fair Food Network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5E4B-7260-4554-AE2C-499AC34B2C2B}">
  <sheetPr>
    <tabColor theme="7"/>
  </sheetPr>
  <dimension ref="A1:X54"/>
  <sheetViews>
    <sheetView workbookViewId="0">
      <selection activeCell="E26" sqref="E26"/>
    </sheetView>
  </sheetViews>
  <sheetFormatPr defaultColWidth="8.85546875" defaultRowHeight="15" x14ac:dyDescent="0.25"/>
  <cols>
    <col min="1" max="1" width="4" customWidth="1"/>
    <col min="2" max="2" width="32.140625" bestFit="1" customWidth="1"/>
    <col min="3" max="3" width="26.140625" bestFit="1" customWidth="1"/>
    <col min="4" max="4" width="25.42578125" bestFit="1" customWidth="1"/>
    <col min="5" max="5" width="13.42578125" customWidth="1"/>
    <col min="6" max="6" width="14.5703125" customWidth="1"/>
    <col min="7" max="7" width="20.85546875" bestFit="1" customWidth="1"/>
    <col min="8" max="8" width="44.140625" bestFit="1" customWidth="1"/>
    <col min="9" max="9" width="40.42578125" bestFit="1" customWidth="1"/>
    <col min="10" max="10" width="15.42578125" bestFit="1" customWidth="1"/>
    <col min="11" max="11" width="26" bestFit="1" customWidth="1"/>
    <col min="13" max="13" width="11.42578125" customWidth="1"/>
    <col min="14" max="23" width="11.140625" bestFit="1" customWidth="1"/>
  </cols>
  <sheetData>
    <row r="1" spans="1:23" x14ac:dyDescent="0.25">
      <c r="A1" t="s">
        <v>21</v>
      </c>
      <c r="B1" s="96" t="s">
        <v>92</v>
      </c>
      <c r="C1" s="96"/>
      <c r="D1" s="96"/>
      <c r="E1" s="96"/>
      <c r="F1" s="96"/>
    </row>
    <row r="3" spans="1:23" x14ac:dyDescent="0.25">
      <c r="B3" s="22" t="s">
        <v>93</v>
      </c>
    </row>
    <row r="4" spans="1:23" x14ac:dyDescent="0.25">
      <c r="B4" s="8" t="s">
        <v>350</v>
      </c>
      <c r="L4" s="25"/>
      <c r="N4" s="37">
        <v>1</v>
      </c>
      <c r="O4" s="37">
        <v>2</v>
      </c>
      <c r="P4" s="37">
        <v>3</v>
      </c>
      <c r="Q4" s="37">
        <v>4</v>
      </c>
      <c r="R4" s="37">
        <v>5</v>
      </c>
      <c r="S4" s="37">
        <v>6</v>
      </c>
      <c r="T4" s="37">
        <v>7</v>
      </c>
      <c r="U4" s="37">
        <v>8</v>
      </c>
      <c r="V4" s="37">
        <v>9</v>
      </c>
      <c r="W4" s="37">
        <v>10</v>
      </c>
    </row>
    <row r="5" spans="1:23" x14ac:dyDescent="0.25">
      <c r="B5" s="8"/>
      <c r="L5" s="25"/>
      <c r="M5" s="1"/>
      <c r="N5" s="1" t="s">
        <v>115</v>
      </c>
      <c r="O5" s="1" t="s">
        <v>185</v>
      </c>
      <c r="P5" s="1" t="s">
        <v>186</v>
      </c>
      <c r="Q5" s="1" t="s">
        <v>187</v>
      </c>
      <c r="R5" s="1" t="s">
        <v>188</v>
      </c>
      <c r="S5" s="1" t="s">
        <v>189</v>
      </c>
      <c r="T5" s="1" t="s">
        <v>190</v>
      </c>
      <c r="U5" s="1" t="s">
        <v>191</v>
      </c>
      <c r="V5" s="1" t="s">
        <v>192</v>
      </c>
      <c r="W5" s="1" t="s">
        <v>193</v>
      </c>
    </row>
    <row r="6" spans="1:23" s="88" customFormat="1" ht="45" x14ac:dyDescent="0.25">
      <c r="B6" s="89" t="s">
        <v>94</v>
      </c>
      <c r="C6" s="89" t="s">
        <v>222</v>
      </c>
      <c r="D6" s="89" t="s">
        <v>439</v>
      </c>
      <c r="E6" s="89" t="s">
        <v>95</v>
      </c>
      <c r="F6" s="89" t="s">
        <v>96</v>
      </c>
      <c r="G6" s="89" t="s">
        <v>348</v>
      </c>
      <c r="H6" s="89" t="s">
        <v>378</v>
      </c>
      <c r="I6" s="89" t="s">
        <v>349</v>
      </c>
      <c r="J6" s="89" t="s">
        <v>379</v>
      </c>
      <c r="K6" s="89" t="s">
        <v>380</v>
      </c>
      <c r="M6" s="90" t="s">
        <v>194</v>
      </c>
      <c r="N6" s="91">
        <f t="shared" ref="N6:W6" si="0">SUMIFS($K$8:$K$17,$H$8:$H$17,"&lt;="&amp;N4,$G$8:$G$17,"&gt;"&amp;N4,$D$8:$D$17,"yes")+SUMIFS($J$8:$J$17,$H$8:$H$17,"&gt;"&amp;N4,$D$8:$D$17,"yes")</f>
        <v>0</v>
      </c>
      <c r="O6" s="91">
        <f t="shared" si="0"/>
        <v>0</v>
      </c>
      <c r="P6" s="91">
        <f t="shared" si="0"/>
        <v>0</v>
      </c>
      <c r="Q6" s="91">
        <f t="shared" si="0"/>
        <v>0</v>
      </c>
      <c r="R6" s="91">
        <f t="shared" si="0"/>
        <v>0</v>
      </c>
      <c r="S6" s="91">
        <f t="shared" si="0"/>
        <v>0</v>
      </c>
      <c r="T6" s="91">
        <f t="shared" si="0"/>
        <v>0</v>
      </c>
      <c r="U6" s="91">
        <f t="shared" si="0"/>
        <v>0</v>
      </c>
      <c r="V6" s="91">
        <f t="shared" si="0"/>
        <v>0</v>
      </c>
      <c r="W6" s="91">
        <f t="shared" si="0"/>
        <v>0</v>
      </c>
    </row>
    <row r="7" spans="1:23" x14ac:dyDescent="0.25">
      <c r="B7" s="26" t="s">
        <v>97</v>
      </c>
      <c r="C7" s="26" t="s">
        <v>219</v>
      </c>
      <c r="D7" s="26" t="s">
        <v>223</v>
      </c>
      <c r="E7" s="27">
        <v>10000</v>
      </c>
      <c r="F7" s="28">
        <v>0.05</v>
      </c>
      <c r="G7" s="26">
        <v>5</v>
      </c>
      <c r="H7" s="26">
        <v>1</v>
      </c>
      <c r="I7" s="26">
        <v>4</v>
      </c>
      <c r="J7" s="80">
        <f>F7*E7</f>
        <v>500</v>
      </c>
      <c r="K7" s="39">
        <f>-PMT(F7,I7,(E7+(H7*E7*F7)))</f>
        <v>2961.1242423363592</v>
      </c>
      <c r="M7" s="25"/>
    </row>
    <row r="8" spans="1:23" x14ac:dyDescent="0.25">
      <c r="B8" t="s">
        <v>461</v>
      </c>
      <c r="C8" t="s">
        <v>219</v>
      </c>
      <c r="D8" t="s">
        <v>223</v>
      </c>
      <c r="E8" s="5">
        <v>0</v>
      </c>
      <c r="F8" s="24">
        <v>0.02</v>
      </c>
      <c r="G8" s="11">
        <v>27</v>
      </c>
      <c r="H8" s="11">
        <v>7</v>
      </c>
      <c r="I8" s="40">
        <f>G8-H8</f>
        <v>20</v>
      </c>
      <c r="J8" s="81">
        <f>F8*E8</f>
        <v>0</v>
      </c>
      <c r="K8" s="38">
        <f>IFERROR(-PMT(F8,I8,E8),"")</f>
        <v>0</v>
      </c>
      <c r="M8" s="25"/>
    </row>
    <row r="9" spans="1:23" x14ac:dyDescent="0.25">
      <c r="B9" t="s">
        <v>98</v>
      </c>
      <c r="C9" t="s">
        <v>219</v>
      </c>
      <c r="D9" t="s">
        <v>223</v>
      </c>
      <c r="E9" s="5">
        <v>0</v>
      </c>
      <c r="F9" s="24">
        <v>0</v>
      </c>
      <c r="G9" s="11">
        <v>6</v>
      </c>
      <c r="H9" s="11">
        <v>1</v>
      </c>
      <c r="I9" s="40">
        <f t="shared" ref="I9:I17" si="1">G9-H9</f>
        <v>5</v>
      </c>
      <c r="J9" s="81">
        <f t="shared" ref="J9:J17" si="2">F9*E9</f>
        <v>0</v>
      </c>
      <c r="K9" s="38">
        <f t="shared" ref="K9:K17" si="3">IFERROR(-PMT(F9,I9,E9),"")</f>
        <v>0</v>
      </c>
      <c r="M9" s="25"/>
    </row>
    <row r="10" spans="1:23" x14ac:dyDescent="0.25">
      <c r="E10" s="5">
        <v>0</v>
      </c>
      <c r="F10" s="24">
        <v>0</v>
      </c>
      <c r="G10" s="11">
        <v>0</v>
      </c>
      <c r="H10" s="11">
        <v>0</v>
      </c>
      <c r="I10" s="40">
        <f t="shared" si="1"/>
        <v>0</v>
      </c>
      <c r="J10" s="81">
        <f t="shared" si="2"/>
        <v>0</v>
      </c>
      <c r="K10" s="38" t="str">
        <f t="shared" si="3"/>
        <v/>
      </c>
      <c r="M10" s="25"/>
    </row>
    <row r="11" spans="1:23" x14ac:dyDescent="0.25">
      <c r="E11" s="5">
        <v>0</v>
      </c>
      <c r="F11" s="24">
        <v>0</v>
      </c>
      <c r="G11" s="11">
        <v>0</v>
      </c>
      <c r="H11" s="11">
        <v>7</v>
      </c>
      <c r="I11" s="40">
        <f t="shared" si="1"/>
        <v>-7</v>
      </c>
      <c r="J11" s="81">
        <f t="shared" si="2"/>
        <v>0</v>
      </c>
      <c r="K11" s="38">
        <f t="shared" si="3"/>
        <v>0</v>
      </c>
      <c r="M11" s="25"/>
    </row>
    <row r="12" spans="1:23" x14ac:dyDescent="0.25">
      <c r="E12" s="5"/>
      <c r="F12" s="24"/>
      <c r="G12" s="11"/>
      <c r="H12" s="11"/>
      <c r="I12" s="40">
        <f t="shared" si="1"/>
        <v>0</v>
      </c>
      <c r="J12" s="81">
        <f t="shared" si="2"/>
        <v>0</v>
      </c>
      <c r="K12" s="38" t="str">
        <f t="shared" si="3"/>
        <v/>
      </c>
      <c r="M12" s="25"/>
    </row>
    <row r="13" spans="1:23" x14ac:dyDescent="0.25">
      <c r="E13" s="5"/>
      <c r="F13" s="24"/>
      <c r="G13" s="11"/>
      <c r="H13" s="11"/>
      <c r="I13" s="40">
        <f t="shared" si="1"/>
        <v>0</v>
      </c>
      <c r="J13" s="81">
        <f t="shared" si="2"/>
        <v>0</v>
      </c>
      <c r="K13" s="38" t="str">
        <f t="shared" si="3"/>
        <v/>
      </c>
      <c r="M13" s="25"/>
    </row>
    <row r="14" spans="1:23" x14ac:dyDescent="0.25">
      <c r="E14" s="5"/>
      <c r="F14" s="24"/>
      <c r="G14" s="11"/>
      <c r="H14" s="11"/>
      <c r="I14" s="40">
        <f t="shared" si="1"/>
        <v>0</v>
      </c>
      <c r="J14" s="81">
        <f t="shared" si="2"/>
        <v>0</v>
      </c>
      <c r="K14" s="38" t="str">
        <f t="shared" si="3"/>
        <v/>
      </c>
      <c r="M14" s="25"/>
    </row>
    <row r="15" spans="1:23" x14ac:dyDescent="0.25">
      <c r="E15" s="5"/>
      <c r="F15" s="24"/>
      <c r="G15" s="11"/>
      <c r="H15" s="11"/>
      <c r="I15" s="40">
        <f t="shared" si="1"/>
        <v>0</v>
      </c>
      <c r="J15" s="81">
        <f t="shared" si="2"/>
        <v>0</v>
      </c>
      <c r="K15" s="38" t="str">
        <f t="shared" si="3"/>
        <v/>
      </c>
      <c r="M15" s="25"/>
    </row>
    <row r="16" spans="1:23" x14ac:dyDescent="0.25">
      <c r="E16" s="5"/>
      <c r="F16" s="24"/>
      <c r="G16" s="11"/>
      <c r="H16" s="11"/>
      <c r="I16" s="40">
        <f t="shared" si="1"/>
        <v>0</v>
      </c>
      <c r="J16" s="81">
        <f t="shared" si="2"/>
        <v>0</v>
      </c>
      <c r="K16" s="38" t="str">
        <f t="shared" si="3"/>
        <v/>
      </c>
      <c r="M16" s="25"/>
    </row>
    <row r="17" spans="1:24" x14ac:dyDescent="0.25">
      <c r="E17" s="5"/>
      <c r="F17" s="24"/>
      <c r="G17" s="11"/>
      <c r="H17" s="11"/>
      <c r="I17" s="40">
        <f t="shared" si="1"/>
        <v>0</v>
      </c>
      <c r="J17" s="81">
        <f t="shared" si="2"/>
        <v>0</v>
      </c>
      <c r="K17" s="38" t="str">
        <f t="shared" si="3"/>
        <v/>
      </c>
    </row>
    <row r="19" spans="1:24" x14ac:dyDescent="0.25">
      <c r="B19" s="8" t="s">
        <v>99</v>
      </c>
      <c r="C19" s="9">
        <f>SUM(E8:E17)</f>
        <v>0</v>
      </c>
    </row>
    <row r="20" spans="1:24" x14ac:dyDescent="0.25">
      <c r="B20" s="8" t="s">
        <v>220</v>
      </c>
      <c r="C20" s="9">
        <f>SUMIF(C8:C17,"yes",E8:E17)</f>
        <v>0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4" s="25" customFormat="1" x14ac:dyDescent="0.25">
      <c r="L21"/>
      <c r="M21"/>
      <c r="N21"/>
      <c r="O21"/>
      <c r="P21"/>
      <c r="Q21"/>
      <c r="R21"/>
      <c r="S21"/>
      <c r="T21"/>
      <c r="U21"/>
      <c r="V21"/>
      <c r="W21"/>
    </row>
    <row r="22" spans="1:24" x14ac:dyDescent="0.25">
      <c r="A22" t="s">
        <v>21</v>
      </c>
      <c r="B22" s="22" t="s">
        <v>100</v>
      </c>
    </row>
    <row r="23" spans="1:24" x14ac:dyDescent="0.25">
      <c r="B23" s="22"/>
    </row>
    <row r="24" spans="1:24" ht="30" x14ac:dyDescent="0.25">
      <c r="B24" s="1" t="s">
        <v>101</v>
      </c>
      <c r="C24" s="1" t="s">
        <v>222</v>
      </c>
      <c r="D24" s="89" t="s">
        <v>440</v>
      </c>
      <c r="E24" s="1" t="s">
        <v>102</v>
      </c>
      <c r="F24" s="2"/>
      <c r="G24" s="1"/>
      <c r="J24" s="1"/>
    </row>
    <row r="25" spans="1:24" x14ac:dyDescent="0.25">
      <c r="B25" t="s">
        <v>103</v>
      </c>
      <c r="C25" t="s">
        <v>219</v>
      </c>
      <c r="D25" t="s">
        <v>223</v>
      </c>
      <c r="E25" s="5">
        <v>0</v>
      </c>
    </row>
    <row r="26" spans="1:24" x14ac:dyDescent="0.25">
      <c r="B26" t="s">
        <v>104</v>
      </c>
      <c r="C26" t="s">
        <v>219</v>
      </c>
      <c r="D26" t="s">
        <v>223</v>
      </c>
      <c r="E26" s="5">
        <v>0</v>
      </c>
    </row>
    <row r="27" spans="1:24" x14ac:dyDescent="0.25">
      <c r="E27" s="5"/>
    </row>
    <row r="28" spans="1:24" x14ac:dyDescent="0.25">
      <c r="E28" s="5"/>
    </row>
    <row r="29" spans="1:24" x14ac:dyDescent="0.25">
      <c r="E29" s="5"/>
    </row>
    <row r="30" spans="1:24" x14ac:dyDescent="0.25">
      <c r="E30" s="5"/>
    </row>
    <row r="31" spans="1:24" x14ac:dyDescent="0.25">
      <c r="E31" s="5"/>
    </row>
    <row r="32" spans="1:24" x14ac:dyDescent="0.25">
      <c r="E32" s="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25" customFormat="1" x14ac:dyDescent="0.25">
      <c r="M33"/>
      <c r="N33"/>
      <c r="O33"/>
      <c r="P33"/>
      <c r="Q33"/>
      <c r="R33"/>
      <c r="S33"/>
      <c r="T33"/>
      <c r="U33"/>
      <c r="V33"/>
      <c r="W33"/>
      <c r="X33"/>
    </row>
    <row r="34" spans="1:24" x14ac:dyDescent="0.25">
      <c r="B34" s="8" t="s">
        <v>105</v>
      </c>
      <c r="C34" s="9">
        <f>SUM(E25:E32)</f>
        <v>0</v>
      </c>
    </row>
    <row r="35" spans="1:24" x14ac:dyDescent="0.25">
      <c r="B35" s="8" t="s">
        <v>221</v>
      </c>
      <c r="C35" s="9">
        <f>SUMIF(C25:C32,"yes",E25:E32)</f>
        <v>0</v>
      </c>
    </row>
    <row r="37" spans="1:24" x14ac:dyDescent="0.25">
      <c r="A37" t="s">
        <v>21</v>
      </c>
      <c r="B37" s="22" t="s">
        <v>106</v>
      </c>
    </row>
    <row r="38" spans="1:24" x14ac:dyDescent="0.25">
      <c r="B38" s="22"/>
    </row>
    <row r="39" spans="1:24" ht="30" x14ac:dyDescent="0.25">
      <c r="B39" s="1" t="s">
        <v>107</v>
      </c>
      <c r="C39" s="1" t="s">
        <v>222</v>
      </c>
      <c r="D39" s="89" t="s">
        <v>440</v>
      </c>
      <c r="E39" s="1" t="s">
        <v>108</v>
      </c>
    </row>
    <row r="40" spans="1:24" x14ac:dyDescent="0.25">
      <c r="B40" t="s">
        <v>462</v>
      </c>
      <c r="C40" t="s">
        <v>219</v>
      </c>
      <c r="D40" t="s">
        <v>223</v>
      </c>
      <c r="E40" s="5">
        <v>0</v>
      </c>
    </row>
    <row r="41" spans="1:24" x14ac:dyDescent="0.25">
      <c r="B41" t="s">
        <v>463</v>
      </c>
      <c r="C41" t="s">
        <v>223</v>
      </c>
      <c r="D41" t="s">
        <v>223</v>
      </c>
      <c r="E41" s="5">
        <v>0</v>
      </c>
    </row>
    <row r="42" spans="1:24" x14ac:dyDescent="0.25">
      <c r="E42" s="5"/>
    </row>
    <row r="43" spans="1:24" x14ac:dyDescent="0.25">
      <c r="E43" s="5"/>
    </row>
    <row r="44" spans="1:24" x14ac:dyDescent="0.25">
      <c r="E44" s="5"/>
    </row>
    <row r="45" spans="1:24" x14ac:dyDescent="0.25">
      <c r="E45" s="5"/>
    </row>
    <row r="46" spans="1:24" x14ac:dyDescent="0.25">
      <c r="E46" s="5"/>
    </row>
    <row r="47" spans="1:24" x14ac:dyDescent="0.25">
      <c r="E47" s="5"/>
    </row>
    <row r="48" spans="1:24" x14ac:dyDescent="0.25">
      <c r="E48" s="5"/>
    </row>
    <row r="50" spans="2:3" x14ac:dyDescent="0.25">
      <c r="B50" s="8" t="s">
        <v>109</v>
      </c>
      <c r="C50" s="9">
        <f>SUM(E40:E48)</f>
        <v>0</v>
      </c>
    </row>
    <row r="51" spans="2:3" x14ac:dyDescent="0.25">
      <c r="B51" s="8" t="s">
        <v>224</v>
      </c>
      <c r="C51" s="9">
        <f>SUMIF(C40:C48,"yes",E40:E48)</f>
        <v>0</v>
      </c>
    </row>
    <row r="53" spans="2:3" x14ac:dyDescent="0.25">
      <c r="B53" s="12" t="s">
        <v>225</v>
      </c>
      <c r="C53" s="13">
        <f>SUMIF(D40:D48,"yes",E40:E48)+SUMIF(D25:D32,"yes",E25:E32)+SUMIF(D8:D17,"yes",E8:E17)</f>
        <v>0</v>
      </c>
    </row>
    <row r="54" spans="2:3" x14ac:dyDescent="0.25">
      <c r="B54" s="12" t="s">
        <v>226</v>
      </c>
      <c r="C54" s="13">
        <f>SUM(C51,C35,C20)</f>
        <v>0</v>
      </c>
    </row>
  </sheetData>
  <mergeCells count="1">
    <mergeCell ref="B1:F1"/>
  </mergeCells>
  <pageMargins left="0.7" right="0.7" top="0.75" bottom="0.75" header="0.3" footer="0.3"/>
  <pageSetup orientation="portrait" r:id="rId1"/>
  <headerFooter>
    <oddFooter>&amp;R&amp;8Created by: Fair Food Network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0F86-821B-4D63-BEBD-C3B7C5C572D0}">
  <sheetPr>
    <tabColor rgb="FF92D050"/>
  </sheetPr>
  <dimension ref="B1:L29"/>
  <sheetViews>
    <sheetView showGridLines="0" workbookViewId="0">
      <selection activeCell="G12" sqref="G12"/>
    </sheetView>
  </sheetViews>
  <sheetFormatPr defaultColWidth="8.85546875" defaultRowHeight="15" x14ac:dyDescent="0.25"/>
  <cols>
    <col min="1" max="1" width="2.42578125" customWidth="1"/>
    <col min="2" max="2" width="24.140625" customWidth="1"/>
    <col min="3" max="3" width="18.42578125" customWidth="1"/>
    <col min="4" max="4" width="14" customWidth="1"/>
    <col min="5" max="5" width="23" bestFit="1" customWidth="1"/>
    <col min="6" max="6" width="20.28515625" customWidth="1"/>
    <col min="7" max="13" width="13.42578125" customWidth="1"/>
  </cols>
  <sheetData>
    <row r="1" spans="2:7" x14ac:dyDescent="0.25">
      <c r="B1" s="1" t="s">
        <v>233</v>
      </c>
    </row>
    <row r="2" spans="2:7" x14ac:dyDescent="0.25">
      <c r="B2" s="8" t="s">
        <v>342</v>
      </c>
    </row>
    <row r="4" spans="2:7" x14ac:dyDescent="0.25">
      <c r="B4" s="1" t="s">
        <v>234</v>
      </c>
      <c r="E4" s="1" t="s">
        <v>235</v>
      </c>
      <c r="F4" s="59" t="str">
        <f>IFERROR(INDEX('Income Statement (Yr)'!$D$7:$M$7,MATCH("yes",'Income Statement (Yr)'!$D$43:$M$43,0)),"10+")</f>
        <v>10+</v>
      </c>
    </row>
    <row r="5" spans="2:7" x14ac:dyDescent="0.25">
      <c r="B5" t="s">
        <v>93</v>
      </c>
      <c r="C5" s="36" t="e">
        <f>'Financing Assumptions'!C19/'Financing Assumptions'!C53</f>
        <v>#DIV/0!</v>
      </c>
      <c r="E5" s="8" t="s">
        <v>381</v>
      </c>
    </row>
    <row r="6" spans="2:7" x14ac:dyDescent="0.25">
      <c r="B6" t="s">
        <v>100</v>
      </c>
      <c r="C6" s="36" t="e">
        <f>'Financing Assumptions'!C34/'Financing Assumptions'!C53</f>
        <v>#DIV/0!</v>
      </c>
      <c r="E6" s="8" t="s">
        <v>456</v>
      </c>
    </row>
    <row r="7" spans="2:7" x14ac:dyDescent="0.25">
      <c r="B7" s="16" t="s">
        <v>106</v>
      </c>
      <c r="C7" s="48" t="e">
        <f>'Financing Assumptions'!C50/'Financing Assumptions'!C53</f>
        <v>#DIV/0!</v>
      </c>
    </row>
    <row r="8" spans="2:7" x14ac:dyDescent="0.25">
      <c r="B8" s="8" t="s">
        <v>66</v>
      </c>
      <c r="C8" s="47" t="e">
        <f>SUM(C5:C7)</f>
        <v>#DIV/0!</v>
      </c>
    </row>
    <row r="9" spans="2:7" x14ac:dyDescent="0.25">
      <c r="B9" s="8"/>
    </row>
    <row r="10" spans="2:7" x14ac:dyDescent="0.25">
      <c r="B10" s="1" t="s">
        <v>303</v>
      </c>
      <c r="E10" s="1" t="s">
        <v>452</v>
      </c>
      <c r="F10" s="93">
        <f>-SUM(C12:C13)</f>
        <v>8049657.6932126358</v>
      </c>
      <c r="G10" s="8" t="s">
        <v>451</v>
      </c>
    </row>
    <row r="11" spans="2:7" ht="15.75" thickBot="1" x14ac:dyDescent="0.3">
      <c r="B11" s="2" t="s">
        <v>302</v>
      </c>
      <c r="C11" s="6">
        <f>'Financing Assumptions'!C53</f>
        <v>0</v>
      </c>
      <c r="E11" s="1" t="s">
        <v>453</v>
      </c>
      <c r="F11" s="5">
        <v>500000</v>
      </c>
      <c r="G11" s="8" t="s">
        <v>468</v>
      </c>
    </row>
    <row r="12" spans="2:7" ht="15.75" thickBot="1" x14ac:dyDescent="0.3">
      <c r="B12" s="72" t="s">
        <v>7</v>
      </c>
      <c r="C12" s="42">
        <f>-'Start-Up Expense Assumptions'!C201</f>
        <v>-400000</v>
      </c>
      <c r="E12" s="94" t="s">
        <v>454</v>
      </c>
      <c r="F12" s="95">
        <f>SUM(F10:F11)</f>
        <v>8549657.6932126358</v>
      </c>
      <c r="G12" s="8" t="s">
        <v>455</v>
      </c>
    </row>
    <row r="13" spans="2:7" x14ac:dyDescent="0.25">
      <c r="B13" s="56" t="s">
        <v>450</v>
      </c>
      <c r="C13" s="57">
        <f>SUMIF('Income Statement (Yr)'!D39:M39,"&lt;"&amp;0)</f>
        <v>-7649657.6932126358</v>
      </c>
    </row>
    <row r="14" spans="2:7" x14ac:dyDescent="0.25">
      <c r="B14" s="8" t="s">
        <v>449</v>
      </c>
      <c r="C14" s="9">
        <f>C11+C12+C13</f>
        <v>-8049657.6932126358</v>
      </c>
    </row>
    <row r="15" spans="2:7" x14ac:dyDescent="0.25">
      <c r="B15" s="8"/>
    </row>
    <row r="16" spans="2:7" x14ac:dyDescent="0.25">
      <c r="B16" s="1" t="s">
        <v>304</v>
      </c>
    </row>
    <row r="17" spans="2:12" x14ac:dyDescent="0.25">
      <c r="B17" s="1"/>
      <c r="C17" t="s">
        <v>115</v>
      </c>
      <c r="D17" t="s">
        <v>185</v>
      </c>
      <c r="E17" t="s">
        <v>186</v>
      </c>
      <c r="F17" t="s">
        <v>187</v>
      </c>
      <c r="G17" t="s">
        <v>188</v>
      </c>
      <c r="H17" t="s">
        <v>189</v>
      </c>
      <c r="I17" t="s">
        <v>190</v>
      </c>
      <c r="J17" t="s">
        <v>191</v>
      </c>
      <c r="K17" t="s">
        <v>192</v>
      </c>
      <c r="L17" t="s">
        <v>308</v>
      </c>
    </row>
    <row r="18" spans="2:12" x14ac:dyDescent="0.25">
      <c r="B18" s="2" t="s">
        <v>305</v>
      </c>
      <c r="C18" s="7">
        <f>'Income Statement (Yr)'!D9/52</f>
        <v>27515.384615384617</v>
      </c>
      <c r="D18" s="7">
        <f>'Income Statement (Yr)'!E9/52</f>
        <v>28560</v>
      </c>
      <c r="E18" s="7">
        <f>'Income Statement (Yr)'!F9/52</f>
        <v>29131.200000000004</v>
      </c>
      <c r="F18" s="7">
        <f>'Income Statement (Yr)'!G9/52</f>
        <v>29713.824000000004</v>
      </c>
      <c r="G18" s="7">
        <f>'Income Statement (Yr)'!H9/52</f>
        <v>30308.100480000005</v>
      </c>
      <c r="H18" s="7">
        <f>'Income Statement (Yr)'!I9/52</f>
        <v>30914.262489600005</v>
      </c>
      <c r="I18" s="7">
        <f>'Income Statement (Yr)'!J9/52</f>
        <v>31532.547739392005</v>
      </c>
      <c r="J18" s="7">
        <f>'Income Statement (Yr)'!K9/52</f>
        <v>32163.198694179842</v>
      </c>
      <c r="K18" s="7">
        <f>'Income Statement (Yr)'!L9/52</f>
        <v>32806.462668063439</v>
      </c>
      <c r="L18" s="7">
        <f>'Income Statement (Yr)'!M9/52</f>
        <v>33462.591921424711</v>
      </c>
    </row>
    <row r="19" spans="2:12" x14ac:dyDescent="0.25">
      <c r="B19" s="2" t="s">
        <v>293</v>
      </c>
      <c r="C19" s="7">
        <f>C18/'Lease Information'!$C$5</f>
        <v>3.4394230769230769</v>
      </c>
      <c r="D19" s="7">
        <f>D18/'Lease Information'!$C$5</f>
        <v>3.57</v>
      </c>
      <c r="E19" s="7">
        <f>E18/'Lease Information'!$C$5</f>
        <v>3.6414000000000004</v>
      </c>
      <c r="F19" s="7">
        <f>F18/'Lease Information'!$C$5</f>
        <v>3.7142280000000003</v>
      </c>
      <c r="G19" s="7">
        <f>G18/'Lease Information'!$C$5</f>
        <v>3.7885125600000005</v>
      </c>
      <c r="H19" s="7">
        <f>H18/'Lease Information'!$C$5</f>
        <v>3.8642828112000007</v>
      </c>
      <c r="I19" s="7">
        <f>I18/'Lease Information'!$C$5</f>
        <v>3.9415684674240006</v>
      </c>
      <c r="J19" s="7">
        <f>J18/'Lease Information'!$C$5</f>
        <v>4.02039983677248</v>
      </c>
      <c r="K19" s="7">
        <f>K18/'Lease Information'!$C$5</f>
        <v>4.1008078335079299</v>
      </c>
      <c r="L19" s="7">
        <f>L18/'Lease Information'!$C$5</f>
        <v>4.1828239901780888</v>
      </c>
    </row>
    <row r="20" spans="2:12" x14ac:dyDescent="0.25">
      <c r="B20" s="2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2:12" x14ac:dyDescent="0.25">
      <c r="B21" s="2" t="s">
        <v>306</v>
      </c>
      <c r="C21" s="7">
        <f>('Income Statement (Yr)'!D9-'Income Statement (Yr)'!D39)/52</f>
        <v>41103.775384615372</v>
      </c>
      <c r="D21" s="7">
        <f>('Income Statement (Yr)'!E9-'Income Statement (Yr)'!E39)/52</f>
        <v>42262.780461538459</v>
      </c>
      <c r="E21" s="7">
        <f>('Income Statement (Yr)'!F9-'Income Statement (Yr)'!F39)/52</f>
        <v>43104.189916923067</v>
      </c>
      <c r="F21" s="7">
        <f>('Income Statement (Yr)'!G9-'Income Statement (Yr)'!G39)/52</f>
        <v>43962.427561415374</v>
      </c>
      <c r="G21" s="7">
        <f>('Income Statement (Yr)'!H9-'Income Statement (Yr)'!H39)/52</f>
        <v>44837.82995879752</v>
      </c>
      <c r="H21" s="7">
        <f>('Income Statement (Yr)'!I9-'Income Statement (Yr)'!I39)/52</f>
        <v>45730.740404127326</v>
      </c>
      <c r="I21" s="7">
        <f>('Income Statement (Yr)'!J9-'Income Statement (Yr)'!J39)/52</f>
        <v>46641.509058363721</v>
      </c>
      <c r="J21" s="7">
        <f>('Income Statement (Yr)'!K9-'Income Statement (Yr)'!K39)/52</f>
        <v>47570.493085684844</v>
      </c>
      <c r="K21" s="7">
        <f>('Income Statement (Yr)'!L9-'Income Statement (Yr)'!L39)/52</f>
        <v>48518.056793552372</v>
      </c>
      <c r="L21" s="7">
        <f>('Income Statement (Yr)'!M9-'Income Statement (Yr)'!M39)/52</f>
        <v>49484.571775577278</v>
      </c>
    </row>
    <row r="22" spans="2:12" x14ac:dyDescent="0.25">
      <c r="B22" s="2" t="s">
        <v>294</v>
      </c>
      <c r="C22" s="7">
        <f>C21/'Lease Information'!$C$5</f>
        <v>5.1379719230769219</v>
      </c>
      <c r="D22" s="7">
        <f>D21/'Lease Information'!$C$5</f>
        <v>5.2828475576923077</v>
      </c>
      <c r="E22" s="7">
        <f>E21/'Lease Information'!$C$5</f>
        <v>5.3880237396153836</v>
      </c>
      <c r="F22" s="7">
        <f>F21/'Lease Information'!$C$5</f>
        <v>5.4953034451769218</v>
      </c>
      <c r="G22" s="7">
        <f>G21/'Lease Information'!$C$5</f>
        <v>5.6047287448496901</v>
      </c>
      <c r="H22" s="7">
        <f>H21/'Lease Information'!$C$5</f>
        <v>5.7163425505159156</v>
      </c>
      <c r="I22" s="7">
        <f>I21/'Lease Information'!$C$5</f>
        <v>5.8301886322954655</v>
      </c>
      <c r="J22" s="7">
        <f>J21/'Lease Information'!$C$5</f>
        <v>5.9463116357106056</v>
      </c>
      <c r="K22" s="7">
        <f>K21/'Lease Information'!$C$5</f>
        <v>6.0647570991940469</v>
      </c>
      <c r="L22" s="7">
        <f>L21/'Lease Information'!$C$5</f>
        <v>6.1855714719471599</v>
      </c>
    </row>
    <row r="23" spans="2:12" x14ac:dyDescent="0.25">
      <c r="B23" s="2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2:12" x14ac:dyDescent="0.25">
      <c r="B24" s="2" t="s">
        <v>307</v>
      </c>
      <c r="C24" s="7">
        <f>'Income Statement (Yr)'!D39/52</f>
        <v>-13588.390769230753</v>
      </c>
      <c r="D24" s="7">
        <f>'Income Statement (Yr)'!E39/52</f>
        <v>-13702.780461538454</v>
      </c>
      <c r="E24" s="7">
        <f>'Income Statement (Yr)'!F39/52</f>
        <v>-13972.989916923065</v>
      </c>
      <c r="F24" s="7">
        <f>'Income Statement (Yr)'!G39/52</f>
        <v>-14248.603561415368</v>
      </c>
      <c r="G24" s="7">
        <f>'Income Statement (Yr)'!H39/52</f>
        <v>-14529.729478797522</v>
      </c>
      <c r="H24" s="7">
        <f>'Income Statement (Yr)'!I39/52</f>
        <v>-14816.477914527319</v>
      </c>
      <c r="I24" s="7">
        <f>'Income Statement (Yr)'!J39/52</f>
        <v>-15108.961318971718</v>
      </c>
      <c r="J24" s="7">
        <f>'Income Statement (Yr)'!K39/52</f>
        <v>-15407.294391505</v>
      </c>
      <c r="K24" s="7">
        <f>'Income Statement (Yr)'!L39/52</f>
        <v>-15711.594125488939</v>
      </c>
      <c r="L24" s="7">
        <f>'Income Statement (Yr)'!M39/52</f>
        <v>-16021.979854152565</v>
      </c>
    </row>
    <row r="25" spans="2:12" x14ac:dyDescent="0.25">
      <c r="B25" s="2" t="s">
        <v>296</v>
      </c>
      <c r="C25" s="7">
        <f>C24/'Lease Information'!$C$5</f>
        <v>-1.698548846153844</v>
      </c>
      <c r="D25" s="7">
        <f>D24/'Lease Information'!$C$5</f>
        <v>-1.7128475576923068</v>
      </c>
      <c r="E25" s="7">
        <f>E24/'Lease Information'!$C$5</f>
        <v>-1.7466237396153832</v>
      </c>
      <c r="F25" s="7">
        <f>F24/'Lease Information'!$C$5</f>
        <v>-1.7810754451769211</v>
      </c>
      <c r="G25" s="7">
        <f>G24/'Lease Information'!$C$5</f>
        <v>-1.8162161848496903</v>
      </c>
      <c r="H25" s="7">
        <f>H24/'Lease Information'!$C$5</f>
        <v>-1.8520597393159148</v>
      </c>
      <c r="I25" s="7">
        <f>I24/'Lease Information'!$C$5</f>
        <v>-1.8886201648714649</v>
      </c>
      <c r="J25" s="7">
        <f>J24/'Lease Information'!$C$5</f>
        <v>-1.9259117989381249</v>
      </c>
      <c r="K25" s="7">
        <f>K24/'Lease Information'!$C$5</f>
        <v>-1.9639492656861173</v>
      </c>
      <c r="L25" s="7">
        <f>L24/'Lease Information'!$C$5</f>
        <v>-2.0027474817690707</v>
      </c>
    </row>
    <row r="26" spans="2:12" x14ac:dyDescent="0.25">
      <c r="B26" s="8"/>
    </row>
    <row r="28" spans="2:12" x14ac:dyDescent="0.25">
      <c r="B28" s="1"/>
    </row>
    <row r="29" spans="2:12" x14ac:dyDescent="0.25">
      <c r="B29" s="2"/>
    </row>
  </sheetData>
  <pageMargins left="0.7" right="0.7" top="0.75" bottom="0.75" header="0.3" footer="0.3"/>
  <pageSetup orientation="portrait" r:id="rId1"/>
  <headerFooter>
    <oddFooter>&amp;R&amp;8Created by: Fair Food Network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8253C-A8D1-4075-919A-548BB4B2CD7E}">
  <sheetPr>
    <tabColor rgb="FF00B0F0"/>
  </sheetPr>
  <dimension ref="B1:M43"/>
  <sheetViews>
    <sheetView workbookViewId="0"/>
  </sheetViews>
  <sheetFormatPr defaultColWidth="8.85546875" defaultRowHeight="15" x14ac:dyDescent="0.25"/>
  <cols>
    <col min="1" max="1" width="2.42578125" customWidth="1"/>
    <col min="2" max="2" width="29" bestFit="1" customWidth="1"/>
    <col min="3" max="13" width="15.42578125" customWidth="1"/>
  </cols>
  <sheetData>
    <row r="1" spans="2:13" x14ac:dyDescent="0.25">
      <c r="B1" s="1" t="s">
        <v>111</v>
      </c>
    </row>
    <row r="2" spans="2:13" x14ac:dyDescent="0.25">
      <c r="B2" s="8" t="s">
        <v>341</v>
      </c>
    </row>
    <row r="3" spans="2:13" x14ac:dyDescent="0.25">
      <c r="B3" s="8" t="s">
        <v>353</v>
      </c>
    </row>
    <row r="4" spans="2:13" x14ac:dyDescent="0.25">
      <c r="B4" s="8"/>
    </row>
    <row r="5" spans="2:13" x14ac:dyDescent="0.25">
      <c r="B5" s="8" t="s">
        <v>138</v>
      </c>
      <c r="C5" s="4">
        <v>0</v>
      </c>
    </row>
    <row r="6" spans="2:13" x14ac:dyDescent="0.25">
      <c r="B6" s="8" t="s">
        <v>125</v>
      </c>
      <c r="C6" s="4">
        <v>0.02</v>
      </c>
    </row>
    <row r="7" spans="2:13" x14ac:dyDescent="0.25">
      <c r="B7" s="1"/>
      <c r="C7" s="37">
        <v>0</v>
      </c>
      <c r="D7" s="37">
        <v>1</v>
      </c>
      <c r="E7" s="37">
        <v>2</v>
      </c>
      <c r="F7" s="37">
        <v>3</v>
      </c>
      <c r="G7" s="37">
        <v>4</v>
      </c>
      <c r="H7" s="37">
        <v>5</v>
      </c>
      <c r="I7" s="37">
        <v>6</v>
      </c>
      <c r="J7" s="37">
        <v>7</v>
      </c>
      <c r="K7" s="37">
        <v>8</v>
      </c>
      <c r="L7" s="37">
        <v>9</v>
      </c>
      <c r="M7" s="37">
        <v>10</v>
      </c>
    </row>
    <row r="8" spans="2:13" x14ac:dyDescent="0.25">
      <c r="C8" s="1" t="s">
        <v>126</v>
      </c>
      <c r="D8" s="1" t="s">
        <v>115</v>
      </c>
      <c r="E8" s="1" t="s">
        <v>116</v>
      </c>
      <c r="F8" s="1" t="s">
        <v>117</v>
      </c>
      <c r="G8" s="1" t="s">
        <v>118</v>
      </c>
      <c r="H8" s="1" t="s">
        <v>119</v>
      </c>
      <c r="I8" s="1" t="s">
        <v>120</v>
      </c>
      <c r="J8" s="1" t="s">
        <v>121</v>
      </c>
      <c r="K8" s="1" t="s">
        <v>122</v>
      </c>
      <c r="L8" s="1" t="s">
        <v>123</v>
      </c>
      <c r="M8" s="1" t="s">
        <v>124</v>
      </c>
    </row>
    <row r="9" spans="2:13" x14ac:dyDescent="0.25">
      <c r="B9" s="2" t="s">
        <v>112</v>
      </c>
      <c r="C9" s="23">
        <v>0</v>
      </c>
      <c r="D9" s="10">
        <f>'Income Statement (Weekly - Y1)'!BC9*(1+$C$5)</f>
        <v>1430800</v>
      </c>
      <c r="E9" s="23">
        <f>'Income Statement (Seasonality)'!$BC$9*(1+'Income Statement (Yr)'!$C$5)</f>
        <v>1485120</v>
      </c>
      <c r="F9" s="23">
        <f t="shared" ref="F9:M9" si="0">E9*(1+$C$6)*(1+$C$5)</f>
        <v>1514822.4000000001</v>
      </c>
      <c r="G9" s="23">
        <f t="shared" si="0"/>
        <v>1545118.8480000002</v>
      </c>
      <c r="H9" s="23">
        <f t="shared" si="0"/>
        <v>1576021.2249600003</v>
      </c>
      <c r="I9" s="23">
        <f t="shared" si="0"/>
        <v>1607541.6494592002</v>
      </c>
      <c r="J9" s="23">
        <f t="shared" si="0"/>
        <v>1639692.4824483842</v>
      </c>
      <c r="K9" s="23">
        <f t="shared" si="0"/>
        <v>1672486.3320973518</v>
      </c>
      <c r="L9" s="23">
        <f t="shared" si="0"/>
        <v>1705936.058739299</v>
      </c>
      <c r="M9" s="23">
        <f t="shared" si="0"/>
        <v>1740054.7799140851</v>
      </c>
    </row>
    <row r="10" spans="2:13" x14ac:dyDescent="0.25">
      <c r="B10" s="16" t="s">
        <v>113</v>
      </c>
      <c r="C10" s="32">
        <f>'Start-Up Expense Assumptions'!C9+'Start-Up Expense Assumptions'!C10</f>
        <v>422584</v>
      </c>
      <c r="D10" s="32">
        <f>'Income Statement (Weekly - Y1)'!BC10*(1+$C$5)</f>
        <v>986393.51999999909</v>
      </c>
      <c r="E10" s="33">
        <f>'Income Statement (Seasonality)'!$BC$10*(1+'Income Statement (Yr)'!$C$5)</f>
        <v>1023841.7279999994</v>
      </c>
      <c r="F10" s="33">
        <f t="shared" ref="F10:M10" si="1">E10*(1+$C$6)*(1+$C$5)</f>
        <v>1044318.5625599994</v>
      </c>
      <c r="G10" s="33">
        <f t="shared" si="1"/>
        <v>1065204.9338111994</v>
      </c>
      <c r="H10" s="33">
        <f t="shared" si="1"/>
        <v>1086509.0324874234</v>
      </c>
      <c r="I10" s="33">
        <f t="shared" si="1"/>
        <v>1108239.2131371719</v>
      </c>
      <c r="J10" s="33">
        <f t="shared" si="1"/>
        <v>1130403.9973999155</v>
      </c>
      <c r="K10" s="33">
        <f t="shared" si="1"/>
        <v>1153012.0773479138</v>
      </c>
      <c r="L10" s="33">
        <f t="shared" si="1"/>
        <v>1176072.318894872</v>
      </c>
      <c r="M10" s="33">
        <f t="shared" si="1"/>
        <v>1199593.7652727694</v>
      </c>
    </row>
    <row r="11" spans="2:13" ht="15.75" thickBot="1" x14ac:dyDescent="0.3">
      <c r="B11" s="29" t="s">
        <v>114</v>
      </c>
      <c r="C11" s="30">
        <f>C9-C10</f>
        <v>-422584</v>
      </c>
      <c r="D11" s="30">
        <f>D9-D10</f>
        <v>444406.48000000091</v>
      </c>
      <c r="E11" s="31">
        <f>E9-E10</f>
        <v>461278.27200000058</v>
      </c>
      <c r="F11" s="31">
        <f t="shared" ref="F11:M11" si="2">F9-F10</f>
        <v>470503.83744000073</v>
      </c>
      <c r="G11" s="31">
        <f t="shared" si="2"/>
        <v>479913.91418880085</v>
      </c>
      <c r="H11" s="31">
        <f t="shared" si="2"/>
        <v>489512.19247257686</v>
      </c>
      <c r="I11" s="31">
        <f t="shared" si="2"/>
        <v>499302.43632202828</v>
      </c>
      <c r="J11" s="31">
        <f t="shared" si="2"/>
        <v>509288.48504846869</v>
      </c>
      <c r="K11" s="31">
        <f t="shared" si="2"/>
        <v>519474.25474943803</v>
      </c>
      <c r="L11" s="31">
        <f t="shared" si="2"/>
        <v>529863.73984442698</v>
      </c>
      <c r="M11" s="31">
        <f t="shared" si="2"/>
        <v>540461.01464131568</v>
      </c>
    </row>
    <row r="12" spans="2:13" ht="15.75" thickTop="1" x14ac:dyDescent="0.25">
      <c r="B12" s="74" t="s">
        <v>357</v>
      </c>
      <c r="C12" s="45"/>
      <c r="D12" s="75">
        <f>D11/D9</f>
        <v>0.31060000000000065</v>
      </c>
      <c r="E12" s="75">
        <f t="shared" ref="E12:M12" si="3">E11/E9</f>
        <v>0.31060000000000038</v>
      </c>
      <c r="F12" s="75">
        <f t="shared" si="3"/>
        <v>0.31060000000000043</v>
      </c>
      <c r="G12" s="75">
        <f t="shared" si="3"/>
        <v>0.31060000000000049</v>
      </c>
      <c r="H12" s="75">
        <f t="shared" si="3"/>
        <v>0.31060000000000049</v>
      </c>
      <c r="I12" s="75">
        <f t="shared" si="3"/>
        <v>0.31060000000000043</v>
      </c>
      <c r="J12" s="75">
        <f t="shared" si="3"/>
        <v>0.31060000000000032</v>
      </c>
      <c r="K12" s="75">
        <f t="shared" si="3"/>
        <v>0.31060000000000032</v>
      </c>
      <c r="L12" s="75">
        <f t="shared" si="3"/>
        <v>0.31060000000000043</v>
      </c>
      <c r="M12" s="75">
        <f t="shared" si="3"/>
        <v>0.31060000000000049</v>
      </c>
    </row>
    <row r="14" spans="2:13" x14ac:dyDescent="0.25">
      <c r="B14" s="8" t="s">
        <v>131</v>
      </c>
    </row>
    <row r="15" spans="2:13" x14ac:dyDescent="0.25">
      <c r="B15" t="s">
        <v>130</v>
      </c>
      <c r="C15" s="10" t="str">
        <f>IF('Start-Up Expense Assumptions'!C6="option 2",'Start-Up Expense Assumptions'!C199,"")</f>
        <v/>
      </c>
    </row>
    <row r="16" spans="2:13" x14ac:dyDescent="0.25">
      <c r="B16" t="s">
        <v>129</v>
      </c>
      <c r="C16" s="10" t="str">
        <f>IF('Start-Up Expense Assumptions'!C6="option 2",'Start-Up Expense Assumptions'!C148,"")</f>
        <v/>
      </c>
    </row>
    <row r="17" spans="2:13" x14ac:dyDescent="0.25">
      <c r="B17" t="s">
        <v>127</v>
      </c>
      <c r="C17" s="10" t="str">
        <f>IF('Start-Up Expense Assumptions'!C6="option 2",'Start-Up Expense Assumptions'!C64+'Start-Up Expense Assumptions'!C98,"")</f>
        <v/>
      </c>
    </row>
    <row r="18" spans="2:13" x14ac:dyDescent="0.25">
      <c r="B18" t="s">
        <v>18</v>
      </c>
      <c r="C18" s="10" t="str">
        <f>IF('Start-Up Expense Assumptions'!C6="option 2",'Start-Up Expense Assumptions'!C125,"")</f>
        <v/>
      </c>
    </row>
    <row r="19" spans="2:13" x14ac:dyDescent="0.25">
      <c r="B19" s="16" t="s">
        <v>128</v>
      </c>
      <c r="C19" s="32" t="str">
        <f>IF('Start-Up Expense Assumptions'!C6="option 2",'Start-Up Expense Assumptions'!C145,"")</f>
        <v/>
      </c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2:13" x14ac:dyDescent="0.25">
      <c r="B20" s="61" t="s">
        <v>132</v>
      </c>
      <c r="C20" s="63">
        <f>'Start-Up Expense Assumptions'!C201-'Start-Up Expense Assumptions'!C16</f>
        <v>-22584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2" spans="2:13" x14ac:dyDescent="0.25">
      <c r="B22" s="8" t="s">
        <v>51</v>
      </c>
    </row>
    <row r="23" spans="2:13" x14ac:dyDescent="0.25">
      <c r="B23" t="s">
        <v>133</v>
      </c>
      <c r="D23" s="10">
        <f>'Operating Expense Assumptions'!C44</f>
        <v>595660.80000000005</v>
      </c>
      <c r="E23" s="10">
        <f>D23*(1+$C$6)</f>
        <v>607574.01600000006</v>
      </c>
      <c r="F23" s="10">
        <f t="shared" ref="F23:M23" si="4">E23*(1+$C$6)</f>
        <v>619725.49632000003</v>
      </c>
      <c r="G23" s="10">
        <f t="shared" si="4"/>
        <v>632120.00624640007</v>
      </c>
      <c r="H23" s="10">
        <f t="shared" si="4"/>
        <v>644762.40637132805</v>
      </c>
      <c r="I23" s="10">
        <f t="shared" si="4"/>
        <v>657657.65449875465</v>
      </c>
      <c r="J23" s="10">
        <f t="shared" si="4"/>
        <v>670810.80758872977</v>
      </c>
      <c r="K23" s="10">
        <f t="shared" si="4"/>
        <v>684227.0237405044</v>
      </c>
      <c r="L23" s="10">
        <f t="shared" si="4"/>
        <v>697911.56421531446</v>
      </c>
      <c r="M23" s="10">
        <f t="shared" si="4"/>
        <v>711869.79549962073</v>
      </c>
    </row>
    <row r="24" spans="2:13" x14ac:dyDescent="0.25">
      <c r="B24" t="s">
        <v>134</v>
      </c>
      <c r="D24" s="10">
        <f>'Operating Expense Assumptions'!C66-'Operating Expense Assumptions'!C55</f>
        <v>464342</v>
      </c>
      <c r="E24" s="10">
        <f t="shared" ref="E24:M25" si="5">D24*(1+$C$6)</f>
        <v>473628.84</v>
      </c>
      <c r="F24" s="10">
        <f t="shared" si="5"/>
        <v>483101.41680000001</v>
      </c>
      <c r="G24" s="10">
        <f t="shared" si="5"/>
        <v>492763.44513599999</v>
      </c>
      <c r="H24" s="10">
        <f t="shared" si="5"/>
        <v>502618.71403872001</v>
      </c>
      <c r="I24" s="10">
        <f t="shared" si="5"/>
        <v>512671.08831949439</v>
      </c>
      <c r="J24" s="10">
        <f t="shared" si="5"/>
        <v>522924.51008588431</v>
      </c>
      <c r="K24" s="10">
        <f t="shared" si="5"/>
        <v>533383.00028760196</v>
      </c>
      <c r="L24" s="10">
        <f t="shared" si="5"/>
        <v>544050.66029335395</v>
      </c>
      <c r="M24" s="10">
        <f t="shared" si="5"/>
        <v>554931.6734992211</v>
      </c>
    </row>
    <row r="25" spans="2:13" x14ac:dyDescent="0.25">
      <c r="B25" t="s">
        <v>135</v>
      </c>
      <c r="D25" s="10">
        <f>'Operating Expense Assumptions'!C90-'Operating Expense Assumptions'!C79</f>
        <v>81000</v>
      </c>
      <c r="E25" s="10">
        <f t="shared" si="5"/>
        <v>82620</v>
      </c>
      <c r="F25" s="10">
        <f t="shared" si="5"/>
        <v>84272.400000000009</v>
      </c>
      <c r="G25" s="10">
        <f t="shared" si="5"/>
        <v>85957.848000000013</v>
      </c>
      <c r="H25" s="10">
        <f t="shared" si="5"/>
        <v>87677.00496000002</v>
      </c>
      <c r="I25" s="10">
        <f t="shared" si="5"/>
        <v>89430.545059200027</v>
      </c>
      <c r="J25" s="10">
        <f t="shared" si="5"/>
        <v>91219.155960384029</v>
      </c>
      <c r="K25" s="10">
        <f t="shared" si="5"/>
        <v>93043.539079591705</v>
      </c>
      <c r="L25" s="10">
        <f t="shared" si="5"/>
        <v>94904.409861183536</v>
      </c>
      <c r="M25" s="10">
        <f t="shared" si="5"/>
        <v>96802.498058407204</v>
      </c>
    </row>
    <row r="26" spans="2:13" x14ac:dyDescent="0.25">
      <c r="B26" s="61" t="s">
        <v>136</v>
      </c>
      <c r="C26" s="62">
        <f>SUM(C23:C25)</f>
        <v>0</v>
      </c>
      <c r="D26" s="62">
        <f>SUM(D23:D25)</f>
        <v>1141002.8</v>
      </c>
      <c r="E26" s="62">
        <f t="shared" ref="E26:M26" si="6">SUM(E23:E25)</f>
        <v>1163822.8560000001</v>
      </c>
      <c r="F26" s="62">
        <f t="shared" si="6"/>
        <v>1187099.3131200001</v>
      </c>
      <c r="G26" s="62">
        <f t="shared" si="6"/>
        <v>1210841.2993824</v>
      </c>
      <c r="H26" s="62">
        <f t="shared" si="6"/>
        <v>1235058.125370048</v>
      </c>
      <c r="I26" s="62">
        <f t="shared" si="6"/>
        <v>1259759.2878774488</v>
      </c>
      <c r="J26" s="62">
        <f t="shared" si="6"/>
        <v>1284954.4736349981</v>
      </c>
      <c r="K26" s="62">
        <f t="shared" si="6"/>
        <v>1310653.563107698</v>
      </c>
      <c r="L26" s="62">
        <f t="shared" si="6"/>
        <v>1336866.6343698518</v>
      </c>
      <c r="M26" s="62">
        <f t="shared" si="6"/>
        <v>1363603.967057249</v>
      </c>
    </row>
    <row r="27" spans="2:13" x14ac:dyDescent="0.25">
      <c r="B27" s="74" t="s">
        <v>375</v>
      </c>
      <c r="C27" s="60"/>
      <c r="D27" s="75">
        <f>D26/D9</f>
        <v>0.79745792563600781</v>
      </c>
      <c r="E27" s="75">
        <f t="shared" ref="E27:M27" si="7">E26/E9</f>
        <v>0.78365576923076929</v>
      </c>
      <c r="F27" s="75">
        <f t="shared" si="7"/>
        <v>0.78365576923076918</v>
      </c>
      <c r="G27" s="75">
        <f t="shared" si="7"/>
        <v>0.78365576923076907</v>
      </c>
      <c r="H27" s="75">
        <f t="shared" si="7"/>
        <v>0.78365576923076907</v>
      </c>
      <c r="I27" s="75">
        <f t="shared" si="7"/>
        <v>0.78365576923076907</v>
      </c>
      <c r="J27" s="75">
        <f t="shared" si="7"/>
        <v>0.78365576923076918</v>
      </c>
      <c r="K27" s="75">
        <f t="shared" si="7"/>
        <v>0.78365576923076918</v>
      </c>
      <c r="L27" s="75">
        <f t="shared" si="7"/>
        <v>0.78365576923076907</v>
      </c>
      <c r="M27" s="75">
        <f t="shared" si="7"/>
        <v>0.78365576923076918</v>
      </c>
    </row>
    <row r="29" spans="2:13" ht="15.75" thickBot="1" x14ac:dyDescent="0.3">
      <c r="B29" s="29" t="s">
        <v>137</v>
      </c>
      <c r="C29" s="30">
        <f t="shared" ref="C29:M29" si="8">C11-C20-C26</f>
        <v>-400000</v>
      </c>
      <c r="D29" s="30">
        <f t="shared" si="8"/>
        <v>-696596.31999999913</v>
      </c>
      <c r="E29" s="30">
        <f t="shared" si="8"/>
        <v>-702544.58399999957</v>
      </c>
      <c r="F29" s="30">
        <f t="shared" si="8"/>
        <v>-716595.47567999933</v>
      </c>
      <c r="G29" s="30">
        <f t="shared" si="8"/>
        <v>-730927.38519359916</v>
      </c>
      <c r="H29" s="30">
        <f t="shared" si="8"/>
        <v>-745545.93289747112</v>
      </c>
      <c r="I29" s="30">
        <f t="shared" si="8"/>
        <v>-760456.85155542055</v>
      </c>
      <c r="J29" s="30">
        <f t="shared" si="8"/>
        <v>-775665.98858652939</v>
      </c>
      <c r="K29" s="30">
        <f t="shared" si="8"/>
        <v>-791179.30835825996</v>
      </c>
      <c r="L29" s="30">
        <f t="shared" si="8"/>
        <v>-807002.89452542481</v>
      </c>
      <c r="M29" s="30">
        <f t="shared" si="8"/>
        <v>-823142.95241593337</v>
      </c>
    </row>
    <row r="30" spans="2:13" ht="15.75" thickTop="1" x14ac:dyDescent="0.25">
      <c r="B30" s="2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25">
      <c r="B31" s="25" t="s">
        <v>315</v>
      </c>
      <c r="C31" s="60"/>
      <c r="D31" s="60">
        <f>INDEX('Financing Assumptions'!$N$6:$W$6,MATCH(D7,'Financing Assumptions'!$N$4:$W$4,0))</f>
        <v>0</v>
      </c>
      <c r="E31" s="60">
        <f>INDEX('Financing Assumptions'!$N$6:$W$6,MATCH(E7,'Financing Assumptions'!$N$4:$W$4,0))</f>
        <v>0</v>
      </c>
      <c r="F31" s="60">
        <f>INDEX('Financing Assumptions'!$N$6:$W$6,MATCH(F7,'Financing Assumptions'!$N$4:$W$4,0))</f>
        <v>0</v>
      </c>
      <c r="G31" s="60">
        <f>INDEX('Financing Assumptions'!$N$6:$W$6,MATCH(G7,'Financing Assumptions'!$N$4:$W$4,0))</f>
        <v>0</v>
      </c>
      <c r="H31" s="60">
        <f>INDEX('Financing Assumptions'!$N$6:$W$6,MATCH(H7,'Financing Assumptions'!$N$4:$W$4,0))</f>
        <v>0</v>
      </c>
      <c r="I31" s="60">
        <f>INDEX('Financing Assumptions'!$N$6:$W$6,MATCH(I7,'Financing Assumptions'!$N$4:$W$4,0))</f>
        <v>0</v>
      </c>
      <c r="J31" s="60">
        <f>INDEX('Financing Assumptions'!$N$6:$W$6,MATCH(J7,'Financing Assumptions'!$N$4:$W$4,0))</f>
        <v>0</v>
      </c>
      <c r="K31" s="60">
        <f>INDEX('Financing Assumptions'!$N$6:$W$6,MATCH(K7,'Financing Assumptions'!$N$4:$W$4,0))</f>
        <v>0</v>
      </c>
      <c r="L31" s="60">
        <f>INDEX('Financing Assumptions'!$N$6:$W$6,MATCH(L7,'Financing Assumptions'!$N$4:$W$4,0))</f>
        <v>0</v>
      </c>
      <c r="M31" s="60">
        <f>INDEX('Financing Assumptions'!$N$6:$W$6,MATCH(M7,'Financing Assumptions'!$N$4:$W$4,0))</f>
        <v>0</v>
      </c>
    </row>
    <row r="32" spans="2:13" x14ac:dyDescent="0.25">
      <c r="B32" s="74" t="s">
        <v>446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2:13" x14ac:dyDescent="0.25">
      <c r="B33" s="16" t="s">
        <v>139</v>
      </c>
      <c r="C33" s="16"/>
      <c r="D33" s="32">
        <f>'Operating Expense Assumptions'!$C$55</f>
        <v>10000</v>
      </c>
      <c r="E33" s="32">
        <f>'Operating Expense Assumptions'!$C$55</f>
        <v>10000</v>
      </c>
      <c r="F33" s="32">
        <f>'Operating Expense Assumptions'!$C$55</f>
        <v>10000</v>
      </c>
      <c r="G33" s="32">
        <f>'Operating Expense Assumptions'!$C$55</f>
        <v>10000</v>
      </c>
      <c r="H33" s="32">
        <f>'Operating Expense Assumptions'!$C$55</f>
        <v>10000</v>
      </c>
      <c r="I33" s="32">
        <f>'Operating Expense Assumptions'!$C$55</f>
        <v>10000</v>
      </c>
      <c r="J33" s="32">
        <f>'Operating Expense Assumptions'!$C$55</f>
        <v>10000</v>
      </c>
      <c r="K33" s="32">
        <f>'Operating Expense Assumptions'!$C$55</f>
        <v>10000</v>
      </c>
      <c r="L33" s="32">
        <f>'Operating Expense Assumptions'!$C$55</f>
        <v>10000</v>
      </c>
      <c r="M33" s="32">
        <f>'Operating Expense Assumptions'!$C$55</f>
        <v>10000</v>
      </c>
    </row>
    <row r="34" spans="2:13" ht="15.75" thickBot="1" x14ac:dyDescent="0.3">
      <c r="B34" s="19" t="s">
        <v>140</v>
      </c>
      <c r="C34" s="55">
        <f>C29-C33-C31-C32</f>
        <v>-400000</v>
      </c>
      <c r="D34" s="55">
        <f t="shared" ref="D34:M34" si="9">D29-D33-D31-D32</f>
        <v>-706596.31999999913</v>
      </c>
      <c r="E34" s="55">
        <f t="shared" si="9"/>
        <v>-712544.58399999957</v>
      </c>
      <c r="F34" s="55">
        <f t="shared" si="9"/>
        <v>-726595.47567999933</v>
      </c>
      <c r="G34" s="55">
        <f t="shared" si="9"/>
        <v>-740927.38519359916</v>
      </c>
      <c r="H34" s="55">
        <f t="shared" si="9"/>
        <v>-755545.93289747112</v>
      </c>
      <c r="I34" s="55">
        <f t="shared" si="9"/>
        <v>-770456.85155542055</v>
      </c>
      <c r="J34" s="55">
        <f t="shared" si="9"/>
        <v>-785665.98858652939</v>
      </c>
      <c r="K34" s="55">
        <f t="shared" si="9"/>
        <v>-801179.30835825996</v>
      </c>
      <c r="L34" s="55">
        <f t="shared" si="9"/>
        <v>-817002.89452542481</v>
      </c>
      <c r="M34" s="55">
        <f t="shared" si="9"/>
        <v>-833142.95241593337</v>
      </c>
    </row>
    <row r="35" spans="2:13" ht="15.75" thickTop="1" x14ac:dyDescent="0.25">
      <c r="B35" s="74" t="s">
        <v>365</v>
      </c>
      <c r="C35" s="45"/>
      <c r="D35" s="77" t="e">
        <f>D39/D31</f>
        <v>#DIV/0!</v>
      </c>
      <c r="E35" s="77" t="e">
        <f t="shared" ref="E35:M35" si="10">E39/E31</f>
        <v>#DIV/0!</v>
      </c>
      <c r="F35" s="77" t="e">
        <f t="shared" si="10"/>
        <v>#DIV/0!</v>
      </c>
      <c r="G35" s="77" t="e">
        <f t="shared" si="10"/>
        <v>#DIV/0!</v>
      </c>
      <c r="H35" s="77" t="e">
        <f t="shared" si="10"/>
        <v>#DIV/0!</v>
      </c>
      <c r="I35" s="77" t="e">
        <f>I39/I31</f>
        <v>#DIV/0!</v>
      </c>
      <c r="J35" s="77" t="e">
        <f t="shared" si="10"/>
        <v>#DIV/0!</v>
      </c>
      <c r="K35" s="77" t="e">
        <f t="shared" si="10"/>
        <v>#DIV/0!</v>
      </c>
      <c r="L35" s="77" t="e">
        <f t="shared" si="10"/>
        <v>#DIV/0!</v>
      </c>
      <c r="M35" s="77" t="e">
        <f t="shared" si="10"/>
        <v>#DIV/0!</v>
      </c>
    </row>
    <row r="36" spans="2:13" ht="15.75" thickTop="1" x14ac:dyDescent="0.25"/>
    <row r="37" spans="2:13" x14ac:dyDescent="0.25">
      <c r="B37" s="46" t="s">
        <v>231</v>
      </c>
      <c r="C37" s="16"/>
      <c r="D37" s="32">
        <f>D34*'Revenue Assumptions'!$F$4*-1</f>
        <v>0</v>
      </c>
      <c r="E37" s="32">
        <f>E34*'Revenue Assumptions'!$F$4*-1</f>
        <v>0</v>
      </c>
      <c r="F37" s="32">
        <f>F34*'Revenue Assumptions'!$F$4*-1</f>
        <v>0</v>
      </c>
      <c r="G37" s="32">
        <f>G34*'Revenue Assumptions'!$F$4*-1</f>
        <v>0</v>
      </c>
      <c r="H37" s="32">
        <f>H34*'Revenue Assumptions'!$F$4*-1</f>
        <v>0</v>
      </c>
      <c r="I37" s="32">
        <f>I34*'Revenue Assumptions'!$F$4*-1</f>
        <v>0</v>
      </c>
      <c r="J37" s="32">
        <f>J34*'Revenue Assumptions'!$F$4*-1</f>
        <v>0</v>
      </c>
      <c r="K37" s="32">
        <f>K34*'Revenue Assumptions'!$F$4*-1</f>
        <v>0</v>
      </c>
      <c r="L37" s="32">
        <f>L34*'Revenue Assumptions'!$F$4*-1</f>
        <v>0</v>
      </c>
      <c r="M37" s="32">
        <f>M34*'Revenue Assumptions'!$F$4*-1</f>
        <v>0</v>
      </c>
    </row>
    <row r="39" spans="2:13" ht="15.75" thickBot="1" x14ac:dyDescent="0.3">
      <c r="B39" s="29" t="s">
        <v>232</v>
      </c>
      <c r="C39" s="30">
        <f t="shared" ref="C39:M39" si="11">C34+C37</f>
        <v>-400000</v>
      </c>
      <c r="D39" s="30">
        <f t="shared" si="11"/>
        <v>-706596.31999999913</v>
      </c>
      <c r="E39" s="30">
        <f t="shared" si="11"/>
        <v>-712544.58399999957</v>
      </c>
      <c r="F39" s="30">
        <f t="shared" si="11"/>
        <v>-726595.47567999933</v>
      </c>
      <c r="G39" s="30">
        <f t="shared" si="11"/>
        <v>-740927.38519359916</v>
      </c>
      <c r="H39" s="30">
        <f t="shared" si="11"/>
        <v>-755545.93289747112</v>
      </c>
      <c r="I39" s="30">
        <f t="shared" si="11"/>
        <v>-770456.85155542055</v>
      </c>
      <c r="J39" s="30">
        <f t="shared" si="11"/>
        <v>-785665.98858652939</v>
      </c>
      <c r="K39" s="30">
        <f t="shared" si="11"/>
        <v>-801179.30835825996</v>
      </c>
      <c r="L39" s="30">
        <f t="shared" si="11"/>
        <v>-817002.89452542481</v>
      </c>
      <c r="M39" s="30">
        <f t="shared" si="11"/>
        <v>-833142.95241593337</v>
      </c>
    </row>
    <row r="40" spans="2:13" ht="15.75" thickTop="1" x14ac:dyDescent="0.25"/>
    <row r="41" spans="2:13" x14ac:dyDescent="0.25">
      <c r="B41" t="s">
        <v>237</v>
      </c>
      <c r="D41" s="10">
        <f>D39</f>
        <v>-706596.31999999913</v>
      </c>
      <c r="E41" s="10">
        <f>SUM(D39:E39)</f>
        <v>-1419140.9039999987</v>
      </c>
      <c r="F41" s="10">
        <f>SUM(D39:F39)</f>
        <v>-2145736.3796799979</v>
      </c>
      <c r="G41" s="10">
        <f>SUM(D39:G39)</f>
        <v>-2886663.7648735968</v>
      </c>
      <c r="H41" s="10">
        <f>SUM(D39:H39)</f>
        <v>-3642209.6977710677</v>
      </c>
      <c r="I41" s="10">
        <f>SUM(D39:I39)</f>
        <v>-4412666.5493264887</v>
      </c>
      <c r="J41" s="10">
        <f>SUM(D39:J39)</f>
        <v>-5198332.5379130179</v>
      </c>
      <c r="K41" s="10">
        <f>SUM(D39:K39)</f>
        <v>-5999511.8462712783</v>
      </c>
      <c r="L41" s="10">
        <f>SUM(D39:L39)</f>
        <v>-6816514.7407967029</v>
      </c>
      <c r="M41" s="10">
        <f>SUM(D39:M39)</f>
        <v>-7649657.6932126358</v>
      </c>
    </row>
    <row r="42" spans="2:13" x14ac:dyDescent="0.25">
      <c r="B42" t="s">
        <v>356</v>
      </c>
      <c r="D42" s="76">
        <f>D39/D9</f>
        <v>-0.49384702264467373</v>
      </c>
      <c r="E42" s="76">
        <f t="shared" ref="E42:M42" si="12">E39/E9</f>
        <v>-0.47978923184658451</v>
      </c>
      <c r="F42" s="76">
        <f t="shared" si="12"/>
        <v>-0.47965720316784283</v>
      </c>
      <c r="G42" s="76">
        <f t="shared" si="12"/>
        <v>-0.47952776328672359</v>
      </c>
      <c r="H42" s="76">
        <f t="shared" si="12"/>
        <v>-0.47940086144248917</v>
      </c>
      <c r="I42" s="76">
        <f t="shared" si="12"/>
        <v>-0.47927644786971035</v>
      </c>
      <c r="J42" s="76">
        <f t="shared" si="12"/>
        <v>-0.47915447377875098</v>
      </c>
      <c r="K42" s="76">
        <f t="shared" si="12"/>
        <v>-0.47903489133663368</v>
      </c>
      <c r="L42" s="76">
        <f t="shared" si="12"/>
        <v>-0.47891765364828315</v>
      </c>
      <c r="M42" s="76">
        <f t="shared" si="12"/>
        <v>-0.47880271473813579</v>
      </c>
    </row>
    <row r="43" spans="2:13" x14ac:dyDescent="0.25">
      <c r="B43" t="s">
        <v>236</v>
      </c>
      <c r="D43" t="str">
        <f>IF(D41&gt;=-$C$39,"Yes","No")</f>
        <v>No</v>
      </c>
      <c r="E43" t="str">
        <f t="shared" ref="E43:M43" si="13">IF(E41&gt;=-$C$39,"Yes","No")</f>
        <v>No</v>
      </c>
      <c r="F43" t="str">
        <f t="shared" si="13"/>
        <v>No</v>
      </c>
      <c r="G43" t="str">
        <f t="shared" si="13"/>
        <v>No</v>
      </c>
      <c r="H43" t="str">
        <f t="shared" si="13"/>
        <v>No</v>
      </c>
      <c r="I43" t="str">
        <f t="shared" si="13"/>
        <v>No</v>
      </c>
      <c r="J43" t="str">
        <f t="shared" si="13"/>
        <v>No</v>
      </c>
      <c r="K43" t="str">
        <f t="shared" si="13"/>
        <v>No</v>
      </c>
      <c r="L43" t="str">
        <f t="shared" si="13"/>
        <v>No</v>
      </c>
      <c r="M43" t="str">
        <f t="shared" si="13"/>
        <v>No</v>
      </c>
    </row>
  </sheetData>
  <pageMargins left="0.7" right="0.7" top="0.75" bottom="0.75" header="0.3" footer="0.3"/>
  <pageSetup orientation="portrait" r:id="rId1"/>
  <headerFooter>
    <oddFooter>&amp;R&amp;8Created by: Fair Food Network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B9EA-8A9C-4CBC-A93E-DB1750621075}">
  <sheetPr>
    <tabColor rgb="FF00B0F0"/>
  </sheetPr>
  <dimension ref="B1:BC31"/>
  <sheetViews>
    <sheetView workbookViewId="0"/>
  </sheetViews>
  <sheetFormatPr defaultColWidth="8.85546875" defaultRowHeight="15" x14ac:dyDescent="0.25"/>
  <cols>
    <col min="1" max="1" width="2.42578125" customWidth="1"/>
    <col min="2" max="2" width="29" bestFit="1" customWidth="1"/>
    <col min="3" max="55" width="15.42578125" customWidth="1"/>
  </cols>
  <sheetData>
    <row r="1" spans="2:55" x14ac:dyDescent="0.25">
      <c r="B1" s="1" t="s">
        <v>291</v>
      </c>
    </row>
    <row r="2" spans="2:55" x14ac:dyDescent="0.25">
      <c r="B2" s="8" t="s">
        <v>339</v>
      </c>
    </row>
    <row r="3" spans="2:55" x14ac:dyDescent="0.25">
      <c r="B3" s="8" t="s">
        <v>340</v>
      </c>
    </row>
    <row r="4" spans="2:55" x14ac:dyDescent="0.25">
      <c r="B4" s="8" t="s">
        <v>355</v>
      </c>
    </row>
    <row r="5" spans="2:55" x14ac:dyDescent="0.25">
      <c r="B5" s="8"/>
    </row>
    <row r="6" spans="2:55" x14ac:dyDescent="0.25">
      <c r="B6" s="1"/>
      <c r="C6" s="37">
        <v>1</v>
      </c>
      <c r="D6" s="37">
        <v>1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37">
        <v>1</v>
      </c>
      <c r="K6" s="37">
        <v>1</v>
      </c>
      <c r="L6" s="37">
        <v>1</v>
      </c>
      <c r="M6" s="37">
        <v>1</v>
      </c>
      <c r="N6" s="37">
        <v>1</v>
      </c>
      <c r="O6" s="37">
        <v>1</v>
      </c>
      <c r="P6" s="37">
        <v>1</v>
      </c>
      <c r="Q6" s="37">
        <v>1</v>
      </c>
      <c r="R6" s="37">
        <v>1</v>
      </c>
      <c r="S6" s="37">
        <v>1</v>
      </c>
      <c r="T6" s="37">
        <v>1</v>
      </c>
      <c r="U6" s="37">
        <v>1</v>
      </c>
      <c r="V6" s="37">
        <v>1</v>
      </c>
      <c r="W6" s="37">
        <v>1</v>
      </c>
      <c r="X6" s="37">
        <v>1</v>
      </c>
      <c r="Y6" s="37">
        <v>1</v>
      </c>
      <c r="Z6" s="37">
        <v>1</v>
      </c>
      <c r="AA6" s="37">
        <v>1</v>
      </c>
      <c r="AB6" s="37">
        <v>1</v>
      </c>
      <c r="AC6" s="37">
        <v>1</v>
      </c>
      <c r="AD6" s="37">
        <v>1</v>
      </c>
      <c r="AE6" s="37">
        <v>1</v>
      </c>
      <c r="AF6" s="37">
        <v>1</v>
      </c>
      <c r="AG6" s="37">
        <v>1</v>
      </c>
      <c r="AH6" s="37">
        <v>1</v>
      </c>
      <c r="AI6" s="37">
        <v>1</v>
      </c>
      <c r="AJ6" s="37">
        <v>1</v>
      </c>
      <c r="AK6" s="37">
        <v>1</v>
      </c>
      <c r="AL6" s="37">
        <v>1</v>
      </c>
      <c r="AM6" s="37">
        <v>1</v>
      </c>
      <c r="AN6" s="37">
        <v>1</v>
      </c>
      <c r="AO6" s="37">
        <v>1</v>
      </c>
      <c r="AP6" s="37">
        <v>1</v>
      </c>
      <c r="AQ6" s="37">
        <v>1</v>
      </c>
      <c r="AR6" s="37">
        <v>1</v>
      </c>
      <c r="AS6" s="37">
        <v>1</v>
      </c>
      <c r="AT6" s="37">
        <v>1</v>
      </c>
      <c r="AU6" s="37">
        <v>1</v>
      </c>
      <c r="AV6" s="37">
        <v>1</v>
      </c>
      <c r="AW6" s="37">
        <v>1</v>
      </c>
      <c r="AX6" s="37">
        <v>1</v>
      </c>
      <c r="AY6" s="37">
        <v>1</v>
      </c>
      <c r="AZ6" s="37">
        <v>1</v>
      </c>
      <c r="BA6" s="37">
        <v>1</v>
      </c>
      <c r="BB6" s="37">
        <v>1</v>
      </c>
    </row>
    <row r="7" spans="2:55" x14ac:dyDescent="0.25">
      <c r="B7" s="1" t="s">
        <v>290</v>
      </c>
      <c r="C7" s="4">
        <v>0.1</v>
      </c>
      <c r="D7" s="4">
        <v>-0.2</v>
      </c>
      <c r="E7" s="4">
        <v>-0.2</v>
      </c>
      <c r="F7" s="4">
        <v>-0.2</v>
      </c>
      <c r="G7" s="4">
        <v>-0.1</v>
      </c>
      <c r="H7" s="4">
        <v>-0.1</v>
      </c>
      <c r="I7" s="4">
        <v>-0.1</v>
      </c>
      <c r="J7" s="4">
        <v>-0.1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</row>
    <row r="8" spans="2:55" x14ac:dyDescent="0.25">
      <c r="C8" s="1" t="s">
        <v>238</v>
      </c>
      <c r="D8" s="1" t="s">
        <v>239</v>
      </c>
      <c r="E8" s="1" t="s">
        <v>240</v>
      </c>
      <c r="F8" s="1" t="s">
        <v>241</v>
      </c>
      <c r="G8" s="1" t="s">
        <v>242</v>
      </c>
      <c r="H8" s="1" t="s">
        <v>243</v>
      </c>
      <c r="I8" s="1" t="s">
        <v>244</v>
      </c>
      <c r="J8" s="1" t="s">
        <v>245</v>
      </c>
      <c r="K8" s="1" t="s">
        <v>246</v>
      </c>
      <c r="L8" s="1" t="s">
        <v>247</v>
      </c>
      <c r="M8" s="1" t="s">
        <v>248</v>
      </c>
      <c r="N8" s="1" t="s">
        <v>249</v>
      </c>
      <c r="O8" s="1" t="s">
        <v>250</v>
      </c>
      <c r="P8" s="1" t="s">
        <v>251</v>
      </c>
      <c r="Q8" s="1" t="s">
        <v>252</v>
      </c>
      <c r="R8" s="1" t="s">
        <v>253</v>
      </c>
      <c r="S8" s="1" t="s">
        <v>254</v>
      </c>
      <c r="T8" s="1" t="s">
        <v>255</v>
      </c>
      <c r="U8" s="1" t="s">
        <v>256</v>
      </c>
      <c r="V8" s="1" t="s">
        <v>257</v>
      </c>
      <c r="W8" s="1" t="s">
        <v>258</v>
      </c>
      <c r="X8" s="1" t="s">
        <v>259</v>
      </c>
      <c r="Y8" s="1" t="s">
        <v>260</v>
      </c>
      <c r="Z8" s="1" t="s">
        <v>261</v>
      </c>
      <c r="AA8" s="1" t="s">
        <v>262</v>
      </c>
      <c r="AB8" s="1" t="s">
        <v>263</v>
      </c>
      <c r="AC8" s="1" t="s">
        <v>264</v>
      </c>
      <c r="AD8" s="1" t="s">
        <v>265</v>
      </c>
      <c r="AE8" s="1" t="s">
        <v>266</v>
      </c>
      <c r="AF8" s="1" t="s">
        <v>267</v>
      </c>
      <c r="AG8" s="1" t="s">
        <v>268</v>
      </c>
      <c r="AH8" s="1" t="s">
        <v>269</v>
      </c>
      <c r="AI8" s="1" t="s">
        <v>270</v>
      </c>
      <c r="AJ8" s="1" t="s">
        <v>271</v>
      </c>
      <c r="AK8" s="1" t="s">
        <v>272</v>
      </c>
      <c r="AL8" s="1" t="s">
        <v>273</v>
      </c>
      <c r="AM8" s="1" t="s">
        <v>274</v>
      </c>
      <c r="AN8" s="1" t="s">
        <v>275</v>
      </c>
      <c r="AO8" s="1" t="s">
        <v>276</v>
      </c>
      <c r="AP8" s="1" t="s">
        <v>277</v>
      </c>
      <c r="AQ8" s="1" t="s">
        <v>278</v>
      </c>
      <c r="AR8" s="1" t="s">
        <v>279</v>
      </c>
      <c r="AS8" s="1" t="s">
        <v>280</v>
      </c>
      <c r="AT8" s="1" t="s">
        <v>281</v>
      </c>
      <c r="AU8" s="1" t="s">
        <v>282</v>
      </c>
      <c r="AV8" s="1" t="s">
        <v>283</v>
      </c>
      <c r="AW8" s="1" t="s">
        <v>284</v>
      </c>
      <c r="AX8" s="1" t="s">
        <v>285</v>
      </c>
      <c r="AY8" s="1" t="s">
        <v>286</v>
      </c>
      <c r="AZ8" s="1" t="s">
        <v>287</v>
      </c>
      <c r="BA8" s="1" t="s">
        <v>288</v>
      </c>
      <c r="BB8" s="1" t="s">
        <v>289</v>
      </c>
      <c r="BC8" s="49" t="s">
        <v>292</v>
      </c>
    </row>
    <row r="9" spans="2:55" x14ac:dyDescent="0.25">
      <c r="B9" s="2" t="s">
        <v>112</v>
      </c>
      <c r="C9" s="10">
        <f>'Revenue Assumptions'!$C$22/52*(1+C7)</f>
        <v>30800.000000000004</v>
      </c>
      <c r="D9" s="10">
        <f>'Revenue Assumptions'!$C$22/52*(1+D7)</f>
        <v>22400</v>
      </c>
      <c r="E9" s="10">
        <f>'Revenue Assumptions'!$C$22/52*(1+E7)</f>
        <v>22400</v>
      </c>
      <c r="F9" s="10">
        <f>'Revenue Assumptions'!$C$22/52*(1+F7)</f>
        <v>22400</v>
      </c>
      <c r="G9" s="10">
        <f>'Revenue Assumptions'!$C$22/52*(1+G7)</f>
        <v>25200</v>
      </c>
      <c r="H9" s="10">
        <f>'Revenue Assumptions'!$C$22/52*(1+H7)</f>
        <v>25200</v>
      </c>
      <c r="I9" s="10">
        <f>'Revenue Assumptions'!$C$22/52*(1+I7)</f>
        <v>25200</v>
      </c>
      <c r="J9" s="10">
        <f>'Revenue Assumptions'!$C$22/52*(1+J7)</f>
        <v>25200</v>
      </c>
      <c r="K9" s="10">
        <f>'Revenue Assumptions'!$C$22/52*(1+K7)</f>
        <v>28000</v>
      </c>
      <c r="L9" s="10">
        <f>'Revenue Assumptions'!$C$22/52*(1+L7)</f>
        <v>28000</v>
      </c>
      <c r="M9" s="10">
        <f>'Revenue Assumptions'!$C$22/52*(1+M7)</f>
        <v>28000</v>
      </c>
      <c r="N9" s="10">
        <f>'Revenue Assumptions'!$C$22/52*(1+N7)</f>
        <v>28000</v>
      </c>
      <c r="O9" s="10">
        <f>'Revenue Assumptions'!$C$22/52*(1+O7)</f>
        <v>28000</v>
      </c>
      <c r="P9" s="10">
        <f>'Revenue Assumptions'!$C$22/52*(1+P7)</f>
        <v>28000</v>
      </c>
      <c r="Q9" s="10">
        <f>'Revenue Assumptions'!$C$22/52*(1+Q7)</f>
        <v>28000</v>
      </c>
      <c r="R9" s="10">
        <f>'Revenue Assumptions'!$C$22/52*(1+R7)</f>
        <v>28000</v>
      </c>
      <c r="S9" s="10">
        <f>'Revenue Assumptions'!$C$22/52*(1+S7)</f>
        <v>28000</v>
      </c>
      <c r="T9" s="10">
        <f>'Revenue Assumptions'!$C$22/52*(1+T7)</f>
        <v>28000</v>
      </c>
      <c r="U9" s="10">
        <f>'Revenue Assumptions'!$C$22/52*(1+U7)</f>
        <v>28000</v>
      </c>
      <c r="V9" s="10">
        <f>'Revenue Assumptions'!$C$22/52*(1+V7)</f>
        <v>28000</v>
      </c>
      <c r="W9" s="10">
        <f>'Revenue Assumptions'!$C$22/52*(1+W7)</f>
        <v>28000</v>
      </c>
      <c r="X9" s="10">
        <f>'Revenue Assumptions'!$C$22/52*(1+X7)</f>
        <v>28000</v>
      </c>
      <c r="Y9" s="10">
        <f>'Revenue Assumptions'!$C$22/52*(1+Y7)</f>
        <v>28000</v>
      </c>
      <c r="Z9" s="10">
        <f>'Revenue Assumptions'!$C$22/52*(1+Z7)</f>
        <v>28000</v>
      </c>
      <c r="AA9" s="10">
        <f>'Revenue Assumptions'!$C$22/52*(1+AA7)</f>
        <v>28000</v>
      </c>
      <c r="AB9" s="10">
        <f>'Revenue Assumptions'!$C$22/52*(1+AB7)</f>
        <v>28000</v>
      </c>
      <c r="AC9" s="10">
        <f>'Revenue Assumptions'!$C$22/52*(1+AC7)</f>
        <v>28000</v>
      </c>
      <c r="AD9" s="10">
        <f>'Revenue Assumptions'!$C$22/52*(1+AD7)</f>
        <v>28000</v>
      </c>
      <c r="AE9" s="10">
        <f>'Revenue Assumptions'!$C$22/52*(1+AE7)</f>
        <v>28000</v>
      </c>
      <c r="AF9" s="10">
        <f>'Revenue Assumptions'!$C$22/52*(1+AF7)</f>
        <v>28000</v>
      </c>
      <c r="AG9" s="10">
        <f>'Revenue Assumptions'!$C$22/52*(1+AG7)</f>
        <v>28000</v>
      </c>
      <c r="AH9" s="10">
        <f>'Revenue Assumptions'!$C$22/52*(1+AH7)</f>
        <v>28000</v>
      </c>
      <c r="AI9" s="10">
        <f>'Revenue Assumptions'!$C$22/52*(1+AI7)</f>
        <v>28000</v>
      </c>
      <c r="AJ9" s="10">
        <f>'Revenue Assumptions'!$C$22/52*(1+AJ7)</f>
        <v>28000</v>
      </c>
      <c r="AK9" s="10">
        <f>'Revenue Assumptions'!$C$22/52*(1+AK7)</f>
        <v>28000</v>
      </c>
      <c r="AL9" s="10">
        <f>'Revenue Assumptions'!$C$22/52*(1+AL7)</f>
        <v>28000</v>
      </c>
      <c r="AM9" s="10">
        <f>'Revenue Assumptions'!$C$22/52*(1+AM7)</f>
        <v>28000</v>
      </c>
      <c r="AN9" s="10">
        <f>'Revenue Assumptions'!$C$22/52*(1+AN7)</f>
        <v>28000</v>
      </c>
      <c r="AO9" s="10">
        <f>'Revenue Assumptions'!$C$22/52*(1+AO7)</f>
        <v>28000</v>
      </c>
      <c r="AP9" s="10">
        <f>'Revenue Assumptions'!$C$22/52*(1+AP7)</f>
        <v>28000</v>
      </c>
      <c r="AQ9" s="10">
        <f>'Revenue Assumptions'!$C$22/52*(1+AQ7)</f>
        <v>28000</v>
      </c>
      <c r="AR9" s="10">
        <f>'Revenue Assumptions'!$C$22/52*(1+AR7)</f>
        <v>28000</v>
      </c>
      <c r="AS9" s="10">
        <f>'Revenue Assumptions'!$C$22/52*(1+AS7)</f>
        <v>28000</v>
      </c>
      <c r="AT9" s="10">
        <f>'Revenue Assumptions'!$C$22/52*(1+AT7)</f>
        <v>28000</v>
      </c>
      <c r="AU9" s="10">
        <f>'Revenue Assumptions'!$C$22/52*(1+AU7)</f>
        <v>28000</v>
      </c>
      <c r="AV9" s="10">
        <f>'Revenue Assumptions'!$C$22/52*(1+AV7)</f>
        <v>28000</v>
      </c>
      <c r="AW9" s="10">
        <f>'Revenue Assumptions'!$C$22/52*(1+AW7)</f>
        <v>28000</v>
      </c>
      <c r="AX9" s="10">
        <f>'Revenue Assumptions'!$C$22/52*(1+AX7)</f>
        <v>28000</v>
      </c>
      <c r="AY9" s="10">
        <f>'Revenue Assumptions'!$C$22/52*(1+AY7)</f>
        <v>28000</v>
      </c>
      <c r="AZ9" s="10">
        <f>'Revenue Assumptions'!$C$22/52*(1+AZ7)</f>
        <v>28000</v>
      </c>
      <c r="BA9" s="10">
        <f>'Revenue Assumptions'!$C$22/52*(1+BA7)</f>
        <v>28000</v>
      </c>
      <c r="BB9" s="10">
        <f>'Revenue Assumptions'!$C$22/52*(1+BB7)</f>
        <v>28000</v>
      </c>
      <c r="BC9" s="50">
        <f>SUM(C9:BB9)</f>
        <v>1430800</v>
      </c>
    </row>
    <row r="10" spans="2:55" x14ac:dyDescent="0.25">
      <c r="B10" s="16" t="s">
        <v>113</v>
      </c>
      <c r="C10" s="32">
        <f>'Operating Expense Assumptions'!$C$68/52*(1+C7)</f>
        <v>21233.520000000004</v>
      </c>
      <c r="D10" s="32">
        <f>'Operating Expense Assumptions'!$C$68/52*(1+D7)</f>
        <v>15442.560000000001</v>
      </c>
      <c r="E10" s="32">
        <f>'Operating Expense Assumptions'!$C$68/52*(1+E7)</f>
        <v>15442.560000000001</v>
      </c>
      <c r="F10" s="32">
        <f>'Operating Expense Assumptions'!$C$68/52*(1+F7)</f>
        <v>15442.560000000001</v>
      </c>
      <c r="G10" s="32">
        <f>'Operating Expense Assumptions'!$C$68/52*(1+G7)</f>
        <v>17372.88</v>
      </c>
      <c r="H10" s="32">
        <f>'Operating Expense Assumptions'!$C$68/52*(1+H7)</f>
        <v>17372.88</v>
      </c>
      <c r="I10" s="32">
        <f>'Operating Expense Assumptions'!$C$68/52*(1+I7)</f>
        <v>17372.88</v>
      </c>
      <c r="J10" s="32">
        <f>'Operating Expense Assumptions'!$C$68/52*(1+J7)</f>
        <v>17372.88</v>
      </c>
      <c r="K10" s="32">
        <f>'Operating Expense Assumptions'!$C$68/52*(1+K7)</f>
        <v>19303.2</v>
      </c>
      <c r="L10" s="32">
        <f>'Operating Expense Assumptions'!$C$68/52*(1+L7)</f>
        <v>19303.2</v>
      </c>
      <c r="M10" s="32">
        <f>'Operating Expense Assumptions'!$C$68/52*(1+M7)</f>
        <v>19303.2</v>
      </c>
      <c r="N10" s="32">
        <f>'Operating Expense Assumptions'!$C$68/52*(1+N7)</f>
        <v>19303.2</v>
      </c>
      <c r="O10" s="32">
        <f>'Operating Expense Assumptions'!$C$68/52*(1+O7)</f>
        <v>19303.2</v>
      </c>
      <c r="P10" s="32">
        <f>'Operating Expense Assumptions'!$C$68/52*(1+P7)</f>
        <v>19303.2</v>
      </c>
      <c r="Q10" s="32">
        <f>'Operating Expense Assumptions'!$C$68/52*(1+Q7)</f>
        <v>19303.2</v>
      </c>
      <c r="R10" s="32">
        <f>'Operating Expense Assumptions'!$C$68/52*(1+R7)</f>
        <v>19303.2</v>
      </c>
      <c r="S10" s="32">
        <f>'Operating Expense Assumptions'!$C$68/52*(1+S7)</f>
        <v>19303.2</v>
      </c>
      <c r="T10" s="32">
        <f>'Operating Expense Assumptions'!$C$68/52*(1+T7)</f>
        <v>19303.2</v>
      </c>
      <c r="U10" s="32">
        <f>'Operating Expense Assumptions'!$C$68/52*(1+U7)</f>
        <v>19303.2</v>
      </c>
      <c r="V10" s="32">
        <f>'Operating Expense Assumptions'!$C$68/52*(1+V7)</f>
        <v>19303.2</v>
      </c>
      <c r="W10" s="32">
        <f>'Operating Expense Assumptions'!$C$68/52*(1+W7)</f>
        <v>19303.2</v>
      </c>
      <c r="X10" s="32">
        <f>'Operating Expense Assumptions'!$C$68/52*(1+X7)</f>
        <v>19303.2</v>
      </c>
      <c r="Y10" s="32">
        <f>'Operating Expense Assumptions'!$C$68/52*(1+Y7)</f>
        <v>19303.2</v>
      </c>
      <c r="Z10" s="32">
        <f>'Operating Expense Assumptions'!$C$68/52*(1+Z7)</f>
        <v>19303.2</v>
      </c>
      <c r="AA10" s="32">
        <f>'Operating Expense Assumptions'!$C$68/52*(1+AA7)</f>
        <v>19303.2</v>
      </c>
      <c r="AB10" s="32">
        <f>'Operating Expense Assumptions'!$C$68/52*(1+AB7)</f>
        <v>19303.2</v>
      </c>
      <c r="AC10" s="32">
        <f>'Operating Expense Assumptions'!$C$68/52*(1+AC7)</f>
        <v>19303.2</v>
      </c>
      <c r="AD10" s="32">
        <f>'Operating Expense Assumptions'!$C$68/52*(1+AD7)</f>
        <v>19303.2</v>
      </c>
      <c r="AE10" s="32">
        <f>'Operating Expense Assumptions'!$C$68/52*(1+AE7)</f>
        <v>19303.2</v>
      </c>
      <c r="AF10" s="32">
        <f>'Operating Expense Assumptions'!$C$68/52*(1+AF7)</f>
        <v>19303.2</v>
      </c>
      <c r="AG10" s="32">
        <f>'Operating Expense Assumptions'!$C$68/52*(1+AG7)</f>
        <v>19303.2</v>
      </c>
      <c r="AH10" s="32">
        <f>'Operating Expense Assumptions'!$C$68/52*(1+AH7)</f>
        <v>19303.2</v>
      </c>
      <c r="AI10" s="32">
        <f>'Operating Expense Assumptions'!$C$68/52*(1+AI7)</f>
        <v>19303.2</v>
      </c>
      <c r="AJ10" s="32">
        <f>'Operating Expense Assumptions'!$C$68/52*(1+AJ7)</f>
        <v>19303.2</v>
      </c>
      <c r="AK10" s="32">
        <f>'Operating Expense Assumptions'!$C$68/52*(1+AK7)</f>
        <v>19303.2</v>
      </c>
      <c r="AL10" s="32">
        <f>'Operating Expense Assumptions'!$C$68/52*(1+AL7)</f>
        <v>19303.2</v>
      </c>
      <c r="AM10" s="32">
        <f>'Operating Expense Assumptions'!$C$68/52*(1+AM7)</f>
        <v>19303.2</v>
      </c>
      <c r="AN10" s="32">
        <f>'Operating Expense Assumptions'!$C$68/52*(1+AN7)</f>
        <v>19303.2</v>
      </c>
      <c r="AO10" s="32">
        <f>'Operating Expense Assumptions'!$C$68/52*(1+AO7)</f>
        <v>19303.2</v>
      </c>
      <c r="AP10" s="32">
        <f>'Operating Expense Assumptions'!$C$68/52*(1+AP7)</f>
        <v>19303.2</v>
      </c>
      <c r="AQ10" s="32">
        <f>'Operating Expense Assumptions'!$C$68/52*(1+AQ7)</f>
        <v>19303.2</v>
      </c>
      <c r="AR10" s="32">
        <f>'Operating Expense Assumptions'!$C$68/52*(1+AR7)</f>
        <v>19303.2</v>
      </c>
      <c r="AS10" s="32">
        <f>'Operating Expense Assumptions'!$C$68/52*(1+AS7)</f>
        <v>19303.2</v>
      </c>
      <c r="AT10" s="32">
        <f>'Operating Expense Assumptions'!$C$68/52*(1+AT7)</f>
        <v>19303.2</v>
      </c>
      <c r="AU10" s="32">
        <f>'Operating Expense Assumptions'!$C$68/52*(1+AU7)</f>
        <v>19303.2</v>
      </c>
      <c r="AV10" s="32">
        <f>'Operating Expense Assumptions'!$C$68/52*(1+AV7)</f>
        <v>19303.2</v>
      </c>
      <c r="AW10" s="32">
        <f>'Operating Expense Assumptions'!$C$68/52*(1+AW7)</f>
        <v>19303.2</v>
      </c>
      <c r="AX10" s="32">
        <f>'Operating Expense Assumptions'!$C$68/52*(1+AX7)</f>
        <v>19303.2</v>
      </c>
      <c r="AY10" s="32">
        <f>'Operating Expense Assumptions'!$C$68/52*(1+AY7)</f>
        <v>19303.2</v>
      </c>
      <c r="AZ10" s="32">
        <f>'Operating Expense Assumptions'!$C$68/52*(1+AZ7)</f>
        <v>19303.2</v>
      </c>
      <c r="BA10" s="32">
        <f>'Operating Expense Assumptions'!$C$68/52*(1+BA7)</f>
        <v>19303.2</v>
      </c>
      <c r="BB10" s="32">
        <f>'Operating Expense Assumptions'!$C$68/52*(1+BB7)</f>
        <v>19303.2</v>
      </c>
      <c r="BC10" s="51">
        <f t="shared" ref="BC10:BC28" si="0">SUM(C10:BB10)</f>
        <v>986393.51999999909</v>
      </c>
    </row>
    <row r="11" spans="2:55" ht="15.75" thickBot="1" x14ac:dyDescent="0.3">
      <c r="B11" s="29" t="s">
        <v>114</v>
      </c>
      <c r="C11" s="30">
        <f>C9-C10</f>
        <v>9566.48</v>
      </c>
      <c r="D11" s="30">
        <f t="shared" ref="D11:BB11" si="1">D9-D10</f>
        <v>6957.4399999999987</v>
      </c>
      <c r="E11" s="30">
        <f t="shared" si="1"/>
        <v>6957.4399999999987</v>
      </c>
      <c r="F11" s="30">
        <f t="shared" si="1"/>
        <v>6957.4399999999987</v>
      </c>
      <c r="G11" s="30">
        <f t="shared" si="1"/>
        <v>7827.119999999999</v>
      </c>
      <c r="H11" s="30">
        <f t="shared" si="1"/>
        <v>7827.119999999999</v>
      </c>
      <c r="I11" s="30">
        <f t="shared" si="1"/>
        <v>7827.119999999999</v>
      </c>
      <c r="J11" s="30">
        <f t="shared" si="1"/>
        <v>7827.119999999999</v>
      </c>
      <c r="K11" s="30">
        <f t="shared" si="1"/>
        <v>8696.7999999999993</v>
      </c>
      <c r="L11" s="30">
        <f t="shared" si="1"/>
        <v>8696.7999999999993</v>
      </c>
      <c r="M11" s="30">
        <f t="shared" si="1"/>
        <v>8696.7999999999993</v>
      </c>
      <c r="N11" s="30">
        <f t="shared" si="1"/>
        <v>8696.7999999999993</v>
      </c>
      <c r="O11" s="30">
        <f t="shared" si="1"/>
        <v>8696.7999999999993</v>
      </c>
      <c r="P11" s="30">
        <f t="shared" si="1"/>
        <v>8696.7999999999993</v>
      </c>
      <c r="Q11" s="30">
        <f t="shared" si="1"/>
        <v>8696.7999999999993</v>
      </c>
      <c r="R11" s="30">
        <f t="shared" si="1"/>
        <v>8696.7999999999993</v>
      </c>
      <c r="S11" s="30">
        <f t="shared" si="1"/>
        <v>8696.7999999999993</v>
      </c>
      <c r="T11" s="30">
        <f t="shared" si="1"/>
        <v>8696.7999999999993</v>
      </c>
      <c r="U11" s="30">
        <f t="shared" si="1"/>
        <v>8696.7999999999993</v>
      </c>
      <c r="V11" s="30">
        <f t="shared" si="1"/>
        <v>8696.7999999999993</v>
      </c>
      <c r="W11" s="30">
        <f t="shared" si="1"/>
        <v>8696.7999999999993</v>
      </c>
      <c r="X11" s="30">
        <f t="shared" si="1"/>
        <v>8696.7999999999993</v>
      </c>
      <c r="Y11" s="30">
        <f t="shared" si="1"/>
        <v>8696.7999999999993</v>
      </c>
      <c r="Z11" s="30">
        <f t="shared" si="1"/>
        <v>8696.7999999999993</v>
      </c>
      <c r="AA11" s="30">
        <f t="shared" si="1"/>
        <v>8696.7999999999993</v>
      </c>
      <c r="AB11" s="30">
        <f t="shared" si="1"/>
        <v>8696.7999999999993</v>
      </c>
      <c r="AC11" s="30">
        <f t="shared" si="1"/>
        <v>8696.7999999999993</v>
      </c>
      <c r="AD11" s="30">
        <f t="shared" si="1"/>
        <v>8696.7999999999993</v>
      </c>
      <c r="AE11" s="30">
        <f t="shared" si="1"/>
        <v>8696.7999999999993</v>
      </c>
      <c r="AF11" s="30">
        <f t="shared" si="1"/>
        <v>8696.7999999999993</v>
      </c>
      <c r="AG11" s="30">
        <f t="shared" si="1"/>
        <v>8696.7999999999993</v>
      </c>
      <c r="AH11" s="30">
        <f t="shared" si="1"/>
        <v>8696.7999999999993</v>
      </c>
      <c r="AI11" s="30">
        <f t="shared" si="1"/>
        <v>8696.7999999999993</v>
      </c>
      <c r="AJ11" s="30">
        <f t="shared" si="1"/>
        <v>8696.7999999999993</v>
      </c>
      <c r="AK11" s="30">
        <f t="shared" si="1"/>
        <v>8696.7999999999993</v>
      </c>
      <c r="AL11" s="30">
        <f t="shared" si="1"/>
        <v>8696.7999999999993</v>
      </c>
      <c r="AM11" s="30">
        <f t="shared" si="1"/>
        <v>8696.7999999999993</v>
      </c>
      <c r="AN11" s="30">
        <f t="shared" si="1"/>
        <v>8696.7999999999993</v>
      </c>
      <c r="AO11" s="30">
        <f t="shared" si="1"/>
        <v>8696.7999999999993</v>
      </c>
      <c r="AP11" s="30">
        <f t="shared" si="1"/>
        <v>8696.7999999999993</v>
      </c>
      <c r="AQ11" s="30">
        <f t="shared" si="1"/>
        <v>8696.7999999999993</v>
      </c>
      <c r="AR11" s="30">
        <f t="shared" si="1"/>
        <v>8696.7999999999993</v>
      </c>
      <c r="AS11" s="30">
        <f t="shared" si="1"/>
        <v>8696.7999999999993</v>
      </c>
      <c r="AT11" s="30">
        <f t="shared" si="1"/>
        <v>8696.7999999999993</v>
      </c>
      <c r="AU11" s="30">
        <f t="shared" si="1"/>
        <v>8696.7999999999993</v>
      </c>
      <c r="AV11" s="30">
        <f t="shared" si="1"/>
        <v>8696.7999999999993</v>
      </c>
      <c r="AW11" s="30">
        <f t="shared" si="1"/>
        <v>8696.7999999999993</v>
      </c>
      <c r="AX11" s="30">
        <f t="shared" si="1"/>
        <v>8696.7999999999993</v>
      </c>
      <c r="AY11" s="30">
        <f t="shared" si="1"/>
        <v>8696.7999999999993</v>
      </c>
      <c r="AZ11" s="30">
        <f t="shared" si="1"/>
        <v>8696.7999999999993</v>
      </c>
      <c r="BA11" s="30">
        <f t="shared" si="1"/>
        <v>8696.7999999999993</v>
      </c>
      <c r="BB11" s="30">
        <f t="shared" si="1"/>
        <v>8696.7999999999993</v>
      </c>
      <c r="BC11" s="52">
        <f t="shared" si="0"/>
        <v>444406.47999999957</v>
      </c>
    </row>
    <row r="12" spans="2:55" ht="15.75" thickTop="1" x14ac:dyDescent="0.25">
      <c r="B12" s="74" t="s">
        <v>357</v>
      </c>
      <c r="C12" s="75">
        <f>C11/C9</f>
        <v>0.31059999999999993</v>
      </c>
      <c r="D12" s="75">
        <f t="shared" ref="D12:BC12" si="2">D11/D9</f>
        <v>0.31059999999999993</v>
      </c>
      <c r="E12" s="75">
        <f t="shared" si="2"/>
        <v>0.31059999999999993</v>
      </c>
      <c r="F12" s="75">
        <f t="shared" si="2"/>
        <v>0.31059999999999993</v>
      </c>
      <c r="G12" s="75">
        <f t="shared" si="2"/>
        <v>0.31059999999999999</v>
      </c>
      <c r="H12" s="75">
        <f t="shared" si="2"/>
        <v>0.31059999999999999</v>
      </c>
      <c r="I12" s="75">
        <f t="shared" si="2"/>
        <v>0.31059999999999999</v>
      </c>
      <c r="J12" s="75">
        <f t="shared" si="2"/>
        <v>0.31059999999999999</v>
      </c>
      <c r="K12" s="75">
        <f t="shared" si="2"/>
        <v>0.31059999999999999</v>
      </c>
      <c r="L12" s="75">
        <f t="shared" si="2"/>
        <v>0.31059999999999999</v>
      </c>
      <c r="M12" s="75">
        <f t="shared" si="2"/>
        <v>0.31059999999999999</v>
      </c>
      <c r="N12" s="75">
        <f t="shared" si="2"/>
        <v>0.31059999999999999</v>
      </c>
      <c r="O12" s="75">
        <f t="shared" si="2"/>
        <v>0.31059999999999999</v>
      </c>
      <c r="P12" s="75">
        <f t="shared" si="2"/>
        <v>0.31059999999999999</v>
      </c>
      <c r="Q12" s="75">
        <f t="shared" si="2"/>
        <v>0.31059999999999999</v>
      </c>
      <c r="R12" s="75">
        <f t="shared" si="2"/>
        <v>0.31059999999999999</v>
      </c>
      <c r="S12" s="75">
        <f t="shared" si="2"/>
        <v>0.31059999999999999</v>
      </c>
      <c r="T12" s="75">
        <f t="shared" si="2"/>
        <v>0.31059999999999999</v>
      </c>
      <c r="U12" s="75">
        <f t="shared" si="2"/>
        <v>0.31059999999999999</v>
      </c>
      <c r="V12" s="75">
        <f t="shared" si="2"/>
        <v>0.31059999999999999</v>
      </c>
      <c r="W12" s="75">
        <f t="shared" si="2"/>
        <v>0.31059999999999999</v>
      </c>
      <c r="X12" s="75">
        <f t="shared" si="2"/>
        <v>0.31059999999999999</v>
      </c>
      <c r="Y12" s="75">
        <f t="shared" si="2"/>
        <v>0.31059999999999999</v>
      </c>
      <c r="Z12" s="75">
        <f t="shared" si="2"/>
        <v>0.31059999999999999</v>
      </c>
      <c r="AA12" s="75">
        <f t="shared" si="2"/>
        <v>0.31059999999999999</v>
      </c>
      <c r="AB12" s="75">
        <f t="shared" si="2"/>
        <v>0.31059999999999999</v>
      </c>
      <c r="AC12" s="75">
        <f t="shared" si="2"/>
        <v>0.31059999999999999</v>
      </c>
      <c r="AD12" s="75">
        <f t="shared" si="2"/>
        <v>0.31059999999999999</v>
      </c>
      <c r="AE12" s="75">
        <f t="shared" si="2"/>
        <v>0.31059999999999999</v>
      </c>
      <c r="AF12" s="75">
        <f t="shared" si="2"/>
        <v>0.31059999999999999</v>
      </c>
      <c r="AG12" s="75">
        <f t="shared" si="2"/>
        <v>0.31059999999999999</v>
      </c>
      <c r="AH12" s="75">
        <f t="shared" si="2"/>
        <v>0.31059999999999999</v>
      </c>
      <c r="AI12" s="75">
        <f t="shared" si="2"/>
        <v>0.31059999999999999</v>
      </c>
      <c r="AJ12" s="75">
        <f t="shared" si="2"/>
        <v>0.31059999999999999</v>
      </c>
      <c r="AK12" s="75">
        <f t="shared" si="2"/>
        <v>0.31059999999999999</v>
      </c>
      <c r="AL12" s="75">
        <f t="shared" si="2"/>
        <v>0.31059999999999999</v>
      </c>
      <c r="AM12" s="75">
        <f t="shared" si="2"/>
        <v>0.31059999999999999</v>
      </c>
      <c r="AN12" s="75">
        <f t="shared" si="2"/>
        <v>0.31059999999999999</v>
      </c>
      <c r="AO12" s="75">
        <f t="shared" si="2"/>
        <v>0.31059999999999999</v>
      </c>
      <c r="AP12" s="75">
        <f t="shared" si="2"/>
        <v>0.31059999999999999</v>
      </c>
      <c r="AQ12" s="75">
        <f t="shared" si="2"/>
        <v>0.31059999999999999</v>
      </c>
      <c r="AR12" s="75">
        <f t="shared" si="2"/>
        <v>0.31059999999999999</v>
      </c>
      <c r="AS12" s="75">
        <f t="shared" si="2"/>
        <v>0.31059999999999999</v>
      </c>
      <c r="AT12" s="75">
        <f t="shared" si="2"/>
        <v>0.31059999999999999</v>
      </c>
      <c r="AU12" s="75">
        <f t="shared" si="2"/>
        <v>0.31059999999999999</v>
      </c>
      <c r="AV12" s="75">
        <f t="shared" si="2"/>
        <v>0.31059999999999999</v>
      </c>
      <c r="AW12" s="75">
        <f t="shared" si="2"/>
        <v>0.31059999999999999</v>
      </c>
      <c r="AX12" s="75">
        <f t="shared" si="2"/>
        <v>0.31059999999999999</v>
      </c>
      <c r="AY12" s="75">
        <f t="shared" si="2"/>
        <v>0.31059999999999999</v>
      </c>
      <c r="AZ12" s="75">
        <f t="shared" si="2"/>
        <v>0.31059999999999999</v>
      </c>
      <c r="BA12" s="75">
        <f t="shared" si="2"/>
        <v>0.31059999999999999</v>
      </c>
      <c r="BB12" s="75">
        <f t="shared" si="2"/>
        <v>0.31059999999999999</v>
      </c>
      <c r="BC12" s="75">
        <f t="shared" si="2"/>
        <v>0.31059999999999971</v>
      </c>
    </row>
    <row r="13" spans="2:55" x14ac:dyDescent="0.25">
      <c r="BC13" s="8"/>
    </row>
    <row r="14" spans="2:55" x14ac:dyDescent="0.25">
      <c r="B14" s="8" t="s">
        <v>51</v>
      </c>
      <c r="BC14" s="8"/>
    </row>
    <row r="15" spans="2:55" x14ac:dyDescent="0.25">
      <c r="B15" t="s">
        <v>133</v>
      </c>
      <c r="C15" s="10">
        <f>'Operating Expense Assumptions'!$C$44/52</f>
        <v>11455.015384615386</v>
      </c>
      <c r="D15" s="10">
        <f>'Operating Expense Assumptions'!$C$44/52</f>
        <v>11455.015384615386</v>
      </c>
      <c r="E15" s="10">
        <f>'Operating Expense Assumptions'!$C$44/52</f>
        <v>11455.015384615386</v>
      </c>
      <c r="F15" s="10">
        <f>'Operating Expense Assumptions'!$C$44/52</f>
        <v>11455.015384615386</v>
      </c>
      <c r="G15" s="10">
        <f>'Operating Expense Assumptions'!$C$44/52</f>
        <v>11455.015384615386</v>
      </c>
      <c r="H15" s="10">
        <f>'Operating Expense Assumptions'!$C$44/52</f>
        <v>11455.015384615386</v>
      </c>
      <c r="I15" s="10">
        <f>'Operating Expense Assumptions'!$C$44/52</f>
        <v>11455.015384615386</v>
      </c>
      <c r="J15" s="10">
        <f>'Operating Expense Assumptions'!$C$44/52</f>
        <v>11455.015384615386</v>
      </c>
      <c r="K15" s="10">
        <f>'Operating Expense Assumptions'!$C$44/52</f>
        <v>11455.015384615386</v>
      </c>
      <c r="L15" s="10">
        <f>'Operating Expense Assumptions'!$C$44/52</f>
        <v>11455.015384615386</v>
      </c>
      <c r="M15" s="10">
        <f>'Operating Expense Assumptions'!$C$44/52</f>
        <v>11455.015384615386</v>
      </c>
      <c r="N15" s="10">
        <f>'Operating Expense Assumptions'!$C$44/52</f>
        <v>11455.015384615386</v>
      </c>
      <c r="O15" s="10">
        <f>'Operating Expense Assumptions'!$C$44/52</f>
        <v>11455.015384615386</v>
      </c>
      <c r="P15" s="10">
        <f>'Operating Expense Assumptions'!$C$44/52</f>
        <v>11455.015384615386</v>
      </c>
      <c r="Q15" s="10">
        <f>'Operating Expense Assumptions'!$C$44/52</f>
        <v>11455.015384615386</v>
      </c>
      <c r="R15" s="10">
        <f>'Operating Expense Assumptions'!$C$44/52</f>
        <v>11455.015384615386</v>
      </c>
      <c r="S15" s="10">
        <f>'Operating Expense Assumptions'!$C$44/52</f>
        <v>11455.015384615386</v>
      </c>
      <c r="T15" s="10">
        <f>'Operating Expense Assumptions'!$C$44/52</f>
        <v>11455.015384615386</v>
      </c>
      <c r="U15" s="10">
        <f>'Operating Expense Assumptions'!$C$44/52</f>
        <v>11455.015384615386</v>
      </c>
      <c r="V15" s="10">
        <f>'Operating Expense Assumptions'!$C$44/52</f>
        <v>11455.015384615386</v>
      </c>
      <c r="W15" s="10">
        <f>'Operating Expense Assumptions'!$C$44/52</f>
        <v>11455.015384615386</v>
      </c>
      <c r="X15" s="10">
        <f>'Operating Expense Assumptions'!$C$44/52</f>
        <v>11455.015384615386</v>
      </c>
      <c r="Y15" s="10">
        <f>'Operating Expense Assumptions'!$C$44/52</f>
        <v>11455.015384615386</v>
      </c>
      <c r="Z15" s="10">
        <f>'Operating Expense Assumptions'!$C$44/52</f>
        <v>11455.015384615386</v>
      </c>
      <c r="AA15" s="10">
        <f>'Operating Expense Assumptions'!$C$44/52</f>
        <v>11455.015384615386</v>
      </c>
      <c r="AB15" s="10">
        <f>'Operating Expense Assumptions'!$C$44/52</f>
        <v>11455.015384615386</v>
      </c>
      <c r="AC15" s="10">
        <f>'Operating Expense Assumptions'!$C$44/52</f>
        <v>11455.015384615386</v>
      </c>
      <c r="AD15" s="10">
        <f>'Operating Expense Assumptions'!$C$44/52</f>
        <v>11455.015384615386</v>
      </c>
      <c r="AE15" s="10">
        <f>'Operating Expense Assumptions'!$C$44/52</f>
        <v>11455.015384615386</v>
      </c>
      <c r="AF15" s="10">
        <f>'Operating Expense Assumptions'!$C$44/52</f>
        <v>11455.015384615386</v>
      </c>
      <c r="AG15" s="10">
        <f>'Operating Expense Assumptions'!$C$44/52</f>
        <v>11455.015384615386</v>
      </c>
      <c r="AH15" s="10">
        <f>'Operating Expense Assumptions'!$C$44/52</f>
        <v>11455.015384615386</v>
      </c>
      <c r="AI15" s="10">
        <f>'Operating Expense Assumptions'!$C$44/52</f>
        <v>11455.015384615386</v>
      </c>
      <c r="AJ15" s="10">
        <f>'Operating Expense Assumptions'!$C$44/52</f>
        <v>11455.015384615386</v>
      </c>
      <c r="AK15" s="10">
        <f>'Operating Expense Assumptions'!$C$44/52</f>
        <v>11455.015384615386</v>
      </c>
      <c r="AL15" s="10">
        <f>'Operating Expense Assumptions'!$C$44/52</f>
        <v>11455.015384615386</v>
      </c>
      <c r="AM15" s="10">
        <f>'Operating Expense Assumptions'!$C$44/52</f>
        <v>11455.015384615386</v>
      </c>
      <c r="AN15" s="10">
        <f>'Operating Expense Assumptions'!$C$44/52</f>
        <v>11455.015384615386</v>
      </c>
      <c r="AO15" s="10">
        <f>'Operating Expense Assumptions'!$C$44/52</f>
        <v>11455.015384615386</v>
      </c>
      <c r="AP15" s="10">
        <f>'Operating Expense Assumptions'!$C$44/52</f>
        <v>11455.015384615386</v>
      </c>
      <c r="AQ15" s="10">
        <f>'Operating Expense Assumptions'!$C$44/52</f>
        <v>11455.015384615386</v>
      </c>
      <c r="AR15" s="10">
        <f>'Operating Expense Assumptions'!$C$44/52</f>
        <v>11455.015384615386</v>
      </c>
      <c r="AS15" s="10">
        <f>'Operating Expense Assumptions'!$C$44/52</f>
        <v>11455.015384615386</v>
      </c>
      <c r="AT15" s="10">
        <f>'Operating Expense Assumptions'!$C$44/52</f>
        <v>11455.015384615386</v>
      </c>
      <c r="AU15" s="10">
        <f>'Operating Expense Assumptions'!$C$44/52</f>
        <v>11455.015384615386</v>
      </c>
      <c r="AV15" s="10">
        <f>'Operating Expense Assumptions'!$C$44/52</f>
        <v>11455.015384615386</v>
      </c>
      <c r="AW15" s="10">
        <f>'Operating Expense Assumptions'!$C$44/52</f>
        <v>11455.015384615386</v>
      </c>
      <c r="AX15" s="10">
        <f>'Operating Expense Assumptions'!$C$44/52</f>
        <v>11455.015384615386</v>
      </c>
      <c r="AY15" s="10">
        <f>'Operating Expense Assumptions'!$C$44/52</f>
        <v>11455.015384615386</v>
      </c>
      <c r="AZ15" s="10">
        <f>'Operating Expense Assumptions'!$C$44/52</f>
        <v>11455.015384615386</v>
      </c>
      <c r="BA15" s="10">
        <f>'Operating Expense Assumptions'!$C$44/52</f>
        <v>11455.015384615386</v>
      </c>
      <c r="BB15" s="10">
        <f>'Operating Expense Assumptions'!$C$44/52</f>
        <v>11455.015384615386</v>
      </c>
      <c r="BC15" s="50">
        <f t="shared" si="0"/>
        <v>595660.80000000051</v>
      </c>
    </row>
    <row r="16" spans="2:55" x14ac:dyDescent="0.25">
      <c r="B16" t="s">
        <v>134</v>
      </c>
      <c r="C16" s="10">
        <f>('Operating Expense Assumptions'!$C$66-'Operating Expense Assumptions'!$C$55)/52</f>
        <v>8929.6538461538457</v>
      </c>
      <c r="D16" s="10">
        <f>('Operating Expense Assumptions'!$C$66-'Operating Expense Assumptions'!$C$55)/52</f>
        <v>8929.6538461538457</v>
      </c>
      <c r="E16" s="10">
        <f>('Operating Expense Assumptions'!$C$66-'Operating Expense Assumptions'!$C$55)/52</f>
        <v>8929.6538461538457</v>
      </c>
      <c r="F16" s="10">
        <f>('Operating Expense Assumptions'!$C$66-'Operating Expense Assumptions'!$C$55)/52</f>
        <v>8929.6538461538457</v>
      </c>
      <c r="G16" s="10">
        <f>('Operating Expense Assumptions'!$C$66-'Operating Expense Assumptions'!$C$55)/52</f>
        <v>8929.6538461538457</v>
      </c>
      <c r="H16" s="10">
        <f>('Operating Expense Assumptions'!$C$66-'Operating Expense Assumptions'!$C$55)/52</f>
        <v>8929.6538461538457</v>
      </c>
      <c r="I16" s="10">
        <f>('Operating Expense Assumptions'!$C$66-'Operating Expense Assumptions'!$C$55)/52</f>
        <v>8929.6538461538457</v>
      </c>
      <c r="J16" s="10">
        <f>('Operating Expense Assumptions'!$C$66-'Operating Expense Assumptions'!$C$55)/52</f>
        <v>8929.6538461538457</v>
      </c>
      <c r="K16" s="10">
        <f>('Operating Expense Assumptions'!$C$66-'Operating Expense Assumptions'!$C$55)/52</f>
        <v>8929.6538461538457</v>
      </c>
      <c r="L16" s="10">
        <f>('Operating Expense Assumptions'!$C$66-'Operating Expense Assumptions'!$C$55)/52</f>
        <v>8929.6538461538457</v>
      </c>
      <c r="M16" s="10">
        <f>('Operating Expense Assumptions'!$C$66-'Operating Expense Assumptions'!$C$55)/52</f>
        <v>8929.6538461538457</v>
      </c>
      <c r="N16" s="10">
        <f>('Operating Expense Assumptions'!$C$66-'Operating Expense Assumptions'!$C$55)/52</f>
        <v>8929.6538461538457</v>
      </c>
      <c r="O16" s="10">
        <f>('Operating Expense Assumptions'!$C$66-'Operating Expense Assumptions'!$C$55)/52</f>
        <v>8929.6538461538457</v>
      </c>
      <c r="P16" s="10">
        <f>('Operating Expense Assumptions'!$C$66-'Operating Expense Assumptions'!$C$55)/52</f>
        <v>8929.6538461538457</v>
      </c>
      <c r="Q16" s="10">
        <f>('Operating Expense Assumptions'!$C$66-'Operating Expense Assumptions'!$C$55)/52</f>
        <v>8929.6538461538457</v>
      </c>
      <c r="R16" s="10">
        <f>('Operating Expense Assumptions'!$C$66-'Operating Expense Assumptions'!$C$55)/52</f>
        <v>8929.6538461538457</v>
      </c>
      <c r="S16" s="10">
        <f>('Operating Expense Assumptions'!$C$66-'Operating Expense Assumptions'!$C$55)/52</f>
        <v>8929.6538461538457</v>
      </c>
      <c r="T16" s="10">
        <f>('Operating Expense Assumptions'!$C$66-'Operating Expense Assumptions'!$C$55)/52</f>
        <v>8929.6538461538457</v>
      </c>
      <c r="U16" s="10">
        <f>('Operating Expense Assumptions'!$C$66-'Operating Expense Assumptions'!$C$55)/52</f>
        <v>8929.6538461538457</v>
      </c>
      <c r="V16" s="10">
        <f>('Operating Expense Assumptions'!$C$66-'Operating Expense Assumptions'!$C$55)/52</f>
        <v>8929.6538461538457</v>
      </c>
      <c r="W16" s="10">
        <f>('Operating Expense Assumptions'!$C$66-'Operating Expense Assumptions'!$C$55)/52</f>
        <v>8929.6538461538457</v>
      </c>
      <c r="X16" s="10">
        <f>('Operating Expense Assumptions'!$C$66-'Operating Expense Assumptions'!$C$55)/52</f>
        <v>8929.6538461538457</v>
      </c>
      <c r="Y16" s="10">
        <f>('Operating Expense Assumptions'!$C$66-'Operating Expense Assumptions'!$C$55)/52</f>
        <v>8929.6538461538457</v>
      </c>
      <c r="Z16" s="10">
        <f>('Operating Expense Assumptions'!$C$66-'Operating Expense Assumptions'!$C$55)/52</f>
        <v>8929.6538461538457</v>
      </c>
      <c r="AA16" s="10">
        <f>('Operating Expense Assumptions'!$C$66-'Operating Expense Assumptions'!$C$55)/52</f>
        <v>8929.6538461538457</v>
      </c>
      <c r="AB16" s="10">
        <f>('Operating Expense Assumptions'!$C$66-'Operating Expense Assumptions'!$C$55)/52</f>
        <v>8929.6538461538457</v>
      </c>
      <c r="AC16" s="10">
        <f>('Operating Expense Assumptions'!$C$66-'Operating Expense Assumptions'!$C$55)/52</f>
        <v>8929.6538461538457</v>
      </c>
      <c r="AD16" s="10">
        <f>('Operating Expense Assumptions'!$C$66-'Operating Expense Assumptions'!$C$55)/52</f>
        <v>8929.6538461538457</v>
      </c>
      <c r="AE16" s="10">
        <f>('Operating Expense Assumptions'!$C$66-'Operating Expense Assumptions'!$C$55)/52</f>
        <v>8929.6538461538457</v>
      </c>
      <c r="AF16" s="10">
        <f>('Operating Expense Assumptions'!$C$66-'Operating Expense Assumptions'!$C$55)/52</f>
        <v>8929.6538461538457</v>
      </c>
      <c r="AG16" s="10">
        <f>('Operating Expense Assumptions'!$C$66-'Operating Expense Assumptions'!$C$55)/52</f>
        <v>8929.6538461538457</v>
      </c>
      <c r="AH16" s="10">
        <f>('Operating Expense Assumptions'!$C$66-'Operating Expense Assumptions'!$C$55)/52</f>
        <v>8929.6538461538457</v>
      </c>
      <c r="AI16" s="10">
        <f>('Operating Expense Assumptions'!$C$66-'Operating Expense Assumptions'!$C$55)/52</f>
        <v>8929.6538461538457</v>
      </c>
      <c r="AJ16" s="10">
        <f>('Operating Expense Assumptions'!$C$66-'Operating Expense Assumptions'!$C$55)/52</f>
        <v>8929.6538461538457</v>
      </c>
      <c r="AK16" s="10">
        <f>('Operating Expense Assumptions'!$C$66-'Operating Expense Assumptions'!$C$55)/52</f>
        <v>8929.6538461538457</v>
      </c>
      <c r="AL16" s="10">
        <f>('Operating Expense Assumptions'!$C$66-'Operating Expense Assumptions'!$C$55)/52</f>
        <v>8929.6538461538457</v>
      </c>
      <c r="AM16" s="10">
        <f>('Operating Expense Assumptions'!$C$66-'Operating Expense Assumptions'!$C$55)/52</f>
        <v>8929.6538461538457</v>
      </c>
      <c r="AN16" s="10">
        <f>('Operating Expense Assumptions'!$C$66-'Operating Expense Assumptions'!$C$55)/52</f>
        <v>8929.6538461538457</v>
      </c>
      <c r="AO16" s="10">
        <f>('Operating Expense Assumptions'!$C$66-'Operating Expense Assumptions'!$C$55)/52</f>
        <v>8929.6538461538457</v>
      </c>
      <c r="AP16" s="10">
        <f>('Operating Expense Assumptions'!$C$66-'Operating Expense Assumptions'!$C$55)/52</f>
        <v>8929.6538461538457</v>
      </c>
      <c r="AQ16" s="10">
        <f>('Operating Expense Assumptions'!$C$66-'Operating Expense Assumptions'!$C$55)/52</f>
        <v>8929.6538461538457</v>
      </c>
      <c r="AR16" s="10">
        <f>('Operating Expense Assumptions'!$C$66-'Operating Expense Assumptions'!$C$55)/52</f>
        <v>8929.6538461538457</v>
      </c>
      <c r="AS16" s="10">
        <f>('Operating Expense Assumptions'!$C$66-'Operating Expense Assumptions'!$C$55)/52</f>
        <v>8929.6538461538457</v>
      </c>
      <c r="AT16" s="10">
        <f>('Operating Expense Assumptions'!$C$66-'Operating Expense Assumptions'!$C$55)/52</f>
        <v>8929.6538461538457</v>
      </c>
      <c r="AU16" s="10">
        <f>('Operating Expense Assumptions'!$C$66-'Operating Expense Assumptions'!$C$55)/52</f>
        <v>8929.6538461538457</v>
      </c>
      <c r="AV16" s="10">
        <f>('Operating Expense Assumptions'!$C$66-'Operating Expense Assumptions'!$C$55)/52</f>
        <v>8929.6538461538457</v>
      </c>
      <c r="AW16" s="10">
        <f>('Operating Expense Assumptions'!$C$66-'Operating Expense Assumptions'!$C$55)/52</f>
        <v>8929.6538461538457</v>
      </c>
      <c r="AX16" s="10">
        <f>('Operating Expense Assumptions'!$C$66-'Operating Expense Assumptions'!$C$55)/52</f>
        <v>8929.6538461538457</v>
      </c>
      <c r="AY16" s="10">
        <f>('Operating Expense Assumptions'!$C$66-'Operating Expense Assumptions'!$C$55)/52</f>
        <v>8929.6538461538457</v>
      </c>
      <c r="AZ16" s="10">
        <f>('Operating Expense Assumptions'!$C$66-'Operating Expense Assumptions'!$C$55)/52</f>
        <v>8929.6538461538457</v>
      </c>
      <c r="BA16" s="10">
        <f>('Operating Expense Assumptions'!$C$66-'Operating Expense Assumptions'!$C$55)/52</f>
        <v>8929.6538461538457</v>
      </c>
      <c r="BB16" s="10">
        <f>('Operating Expense Assumptions'!$C$66-'Operating Expense Assumptions'!$C$55)/52</f>
        <v>8929.6538461538457</v>
      </c>
      <c r="BC16" s="50">
        <f t="shared" si="0"/>
        <v>464342.00000000058</v>
      </c>
    </row>
    <row r="17" spans="2:55" x14ac:dyDescent="0.25">
      <c r="B17" s="16" t="s">
        <v>135</v>
      </c>
      <c r="C17" s="32">
        <f>('Operating Expense Assumptions'!$C$90-'Operating Expense Assumptions'!$C$79)/52</f>
        <v>1557.6923076923076</v>
      </c>
      <c r="D17" s="32">
        <f>('Operating Expense Assumptions'!$C$90-'Operating Expense Assumptions'!$C$79)/52</f>
        <v>1557.6923076923076</v>
      </c>
      <c r="E17" s="32">
        <f>('Operating Expense Assumptions'!$C$90-'Operating Expense Assumptions'!$C$79)/52</f>
        <v>1557.6923076923076</v>
      </c>
      <c r="F17" s="32">
        <f>('Operating Expense Assumptions'!$C$90-'Operating Expense Assumptions'!$C$79)/52</f>
        <v>1557.6923076923076</v>
      </c>
      <c r="G17" s="32">
        <f>('Operating Expense Assumptions'!$C$90-'Operating Expense Assumptions'!$C$79)/52</f>
        <v>1557.6923076923076</v>
      </c>
      <c r="H17" s="32">
        <f>('Operating Expense Assumptions'!$C$90-'Operating Expense Assumptions'!$C$79)/52</f>
        <v>1557.6923076923076</v>
      </c>
      <c r="I17" s="32">
        <f>('Operating Expense Assumptions'!$C$90-'Operating Expense Assumptions'!$C$79)/52</f>
        <v>1557.6923076923076</v>
      </c>
      <c r="J17" s="32">
        <f>('Operating Expense Assumptions'!$C$90-'Operating Expense Assumptions'!$C$79)/52</f>
        <v>1557.6923076923076</v>
      </c>
      <c r="K17" s="32">
        <f>('Operating Expense Assumptions'!$C$90-'Operating Expense Assumptions'!$C$79)/52</f>
        <v>1557.6923076923076</v>
      </c>
      <c r="L17" s="32">
        <f>('Operating Expense Assumptions'!$C$90-'Operating Expense Assumptions'!$C$79)/52</f>
        <v>1557.6923076923076</v>
      </c>
      <c r="M17" s="32">
        <f>('Operating Expense Assumptions'!$C$90-'Operating Expense Assumptions'!$C$79)/52</f>
        <v>1557.6923076923076</v>
      </c>
      <c r="N17" s="32">
        <f>('Operating Expense Assumptions'!$C$90-'Operating Expense Assumptions'!$C$79)/52</f>
        <v>1557.6923076923076</v>
      </c>
      <c r="O17" s="32">
        <f>('Operating Expense Assumptions'!$C$90-'Operating Expense Assumptions'!$C$79)/52</f>
        <v>1557.6923076923076</v>
      </c>
      <c r="P17" s="32">
        <f>('Operating Expense Assumptions'!$C$90-'Operating Expense Assumptions'!$C$79)/52</f>
        <v>1557.6923076923076</v>
      </c>
      <c r="Q17" s="32">
        <f>('Operating Expense Assumptions'!$C$90-'Operating Expense Assumptions'!$C$79)/52</f>
        <v>1557.6923076923076</v>
      </c>
      <c r="R17" s="32">
        <f>('Operating Expense Assumptions'!$C$90-'Operating Expense Assumptions'!$C$79)/52</f>
        <v>1557.6923076923076</v>
      </c>
      <c r="S17" s="32">
        <f>('Operating Expense Assumptions'!$C$90-'Operating Expense Assumptions'!$C$79)/52</f>
        <v>1557.6923076923076</v>
      </c>
      <c r="T17" s="32">
        <f>('Operating Expense Assumptions'!$C$90-'Operating Expense Assumptions'!$C$79)/52</f>
        <v>1557.6923076923076</v>
      </c>
      <c r="U17" s="32">
        <f>('Operating Expense Assumptions'!$C$90-'Operating Expense Assumptions'!$C$79)/52</f>
        <v>1557.6923076923076</v>
      </c>
      <c r="V17" s="32">
        <f>('Operating Expense Assumptions'!$C$90-'Operating Expense Assumptions'!$C$79)/52</f>
        <v>1557.6923076923076</v>
      </c>
      <c r="W17" s="32">
        <f>('Operating Expense Assumptions'!$C$90-'Operating Expense Assumptions'!$C$79)/52</f>
        <v>1557.6923076923076</v>
      </c>
      <c r="X17" s="32">
        <f>('Operating Expense Assumptions'!$C$90-'Operating Expense Assumptions'!$C$79)/52</f>
        <v>1557.6923076923076</v>
      </c>
      <c r="Y17" s="32">
        <f>('Operating Expense Assumptions'!$C$90-'Operating Expense Assumptions'!$C$79)/52</f>
        <v>1557.6923076923076</v>
      </c>
      <c r="Z17" s="32">
        <f>('Operating Expense Assumptions'!$C$90-'Operating Expense Assumptions'!$C$79)/52</f>
        <v>1557.6923076923076</v>
      </c>
      <c r="AA17" s="32">
        <f>('Operating Expense Assumptions'!$C$90-'Operating Expense Assumptions'!$C$79)/52</f>
        <v>1557.6923076923076</v>
      </c>
      <c r="AB17" s="32">
        <f>('Operating Expense Assumptions'!$C$90-'Operating Expense Assumptions'!$C$79)/52</f>
        <v>1557.6923076923076</v>
      </c>
      <c r="AC17" s="32">
        <f>('Operating Expense Assumptions'!$C$90-'Operating Expense Assumptions'!$C$79)/52</f>
        <v>1557.6923076923076</v>
      </c>
      <c r="AD17" s="32">
        <f>('Operating Expense Assumptions'!$C$90-'Operating Expense Assumptions'!$C$79)/52</f>
        <v>1557.6923076923076</v>
      </c>
      <c r="AE17" s="32">
        <f>('Operating Expense Assumptions'!$C$90-'Operating Expense Assumptions'!$C$79)/52</f>
        <v>1557.6923076923076</v>
      </c>
      <c r="AF17" s="32">
        <f>('Operating Expense Assumptions'!$C$90-'Operating Expense Assumptions'!$C$79)/52</f>
        <v>1557.6923076923076</v>
      </c>
      <c r="AG17" s="32">
        <f>('Operating Expense Assumptions'!$C$90-'Operating Expense Assumptions'!$C$79)/52</f>
        <v>1557.6923076923076</v>
      </c>
      <c r="AH17" s="32">
        <f>('Operating Expense Assumptions'!$C$90-'Operating Expense Assumptions'!$C$79)/52</f>
        <v>1557.6923076923076</v>
      </c>
      <c r="AI17" s="32">
        <f>('Operating Expense Assumptions'!$C$90-'Operating Expense Assumptions'!$C$79)/52</f>
        <v>1557.6923076923076</v>
      </c>
      <c r="AJ17" s="32">
        <f>('Operating Expense Assumptions'!$C$90-'Operating Expense Assumptions'!$C$79)/52</f>
        <v>1557.6923076923076</v>
      </c>
      <c r="AK17" s="32">
        <f>('Operating Expense Assumptions'!$C$90-'Operating Expense Assumptions'!$C$79)/52</f>
        <v>1557.6923076923076</v>
      </c>
      <c r="AL17" s="32">
        <f>('Operating Expense Assumptions'!$C$90-'Operating Expense Assumptions'!$C$79)/52</f>
        <v>1557.6923076923076</v>
      </c>
      <c r="AM17" s="32">
        <f>('Operating Expense Assumptions'!$C$90-'Operating Expense Assumptions'!$C$79)/52</f>
        <v>1557.6923076923076</v>
      </c>
      <c r="AN17" s="32">
        <f>('Operating Expense Assumptions'!$C$90-'Operating Expense Assumptions'!$C$79)/52</f>
        <v>1557.6923076923076</v>
      </c>
      <c r="AO17" s="32">
        <f>('Operating Expense Assumptions'!$C$90-'Operating Expense Assumptions'!$C$79)/52</f>
        <v>1557.6923076923076</v>
      </c>
      <c r="AP17" s="32">
        <f>('Operating Expense Assumptions'!$C$90-'Operating Expense Assumptions'!$C$79)/52</f>
        <v>1557.6923076923076</v>
      </c>
      <c r="AQ17" s="32">
        <f>('Operating Expense Assumptions'!$C$90-'Operating Expense Assumptions'!$C$79)/52</f>
        <v>1557.6923076923076</v>
      </c>
      <c r="AR17" s="32">
        <f>('Operating Expense Assumptions'!$C$90-'Operating Expense Assumptions'!$C$79)/52</f>
        <v>1557.6923076923076</v>
      </c>
      <c r="AS17" s="32">
        <f>('Operating Expense Assumptions'!$C$90-'Operating Expense Assumptions'!$C$79)/52</f>
        <v>1557.6923076923076</v>
      </c>
      <c r="AT17" s="32">
        <f>('Operating Expense Assumptions'!$C$90-'Operating Expense Assumptions'!$C$79)/52</f>
        <v>1557.6923076923076</v>
      </c>
      <c r="AU17" s="32">
        <f>('Operating Expense Assumptions'!$C$90-'Operating Expense Assumptions'!$C$79)/52</f>
        <v>1557.6923076923076</v>
      </c>
      <c r="AV17" s="32">
        <f>('Operating Expense Assumptions'!$C$90-'Operating Expense Assumptions'!$C$79)/52</f>
        <v>1557.6923076923076</v>
      </c>
      <c r="AW17" s="32">
        <f>('Operating Expense Assumptions'!$C$90-'Operating Expense Assumptions'!$C$79)/52</f>
        <v>1557.6923076923076</v>
      </c>
      <c r="AX17" s="32">
        <f>('Operating Expense Assumptions'!$C$90-'Operating Expense Assumptions'!$C$79)/52</f>
        <v>1557.6923076923076</v>
      </c>
      <c r="AY17" s="32">
        <f>('Operating Expense Assumptions'!$C$90-'Operating Expense Assumptions'!$C$79)/52</f>
        <v>1557.6923076923076</v>
      </c>
      <c r="AZ17" s="32">
        <f>('Operating Expense Assumptions'!$C$90-'Operating Expense Assumptions'!$C$79)/52</f>
        <v>1557.6923076923076</v>
      </c>
      <c r="BA17" s="32">
        <f>('Operating Expense Assumptions'!$C$90-'Operating Expense Assumptions'!$C$79)/52</f>
        <v>1557.6923076923076</v>
      </c>
      <c r="BB17" s="32">
        <f>('Operating Expense Assumptions'!$C$90-'Operating Expense Assumptions'!$C$79)/52</f>
        <v>1557.6923076923076</v>
      </c>
      <c r="BC17" s="51">
        <f t="shared" si="0"/>
        <v>81000</v>
      </c>
    </row>
    <row r="18" spans="2:55" x14ac:dyDescent="0.25">
      <c r="B18" s="61" t="s">
        <v>136</v>
      </c>
      <c r="C18" s="62">
        <f t="shared" ref="C18:AH18" si="3">SUM(C15:C17)</f>
        <v>21942.36153846154</v>
      </c>
      <c r="D18" s="62">
        <f t="shared" si="3"/>
        <v>21942.36153846154</v>
      </c>
      <c r="E18" s="62">
        <f t="shared" si="3"/>
        <v>21942.36153846154</v>
      </c>
      <c r="F18" s="62">
        <f t="shared" si="3"/>
        <v>21942.36153846154</v>
      </c>
      <c r="G18" s="62">
        <f t="shared" si="3"/>
        <v>21942.36153846154</v>
      </c>
      <c r="H18" s="62">
        <f t="shared" si="3"/>
        <v>21942.36153846154</v>
      </c>
      <c r="I18" s="62">
        <f t="shared" si="3"/>
        <v>21942.36153846154</v>
      </c>
      <c r="J18" s="62">
        <f t="shared" si="3"/>
        <v>21942.36153846154</v>
      </c>
      <c r="K18" s="62">
        <f t="shared" si="3"/>
        <v>21942.36153846154</v>
      </c>
      <c r="L18" s="62">
        <f t="shared" si="3"/>
        <v>21942.36153846154</v>
      </c>
      <c r="M18" s="62">
        <f t="shared" si="3"/>
        <v>21942.36153846154</v>
      </c>
      <c r="N18" s="62">
        <f t="shared" si="3"/>
        <v>21942.36153846154</v>
      </c>
      <c r="O18" s="62">
        <f t="shared" si="3"/>
        <v>21942.36153846154</v>
      </c>
      <c r="P18" s="62">
        <f t="shared" si="3"/>
        <v>21942.36153846154</v>
      </c>
      <c r="Q18" s="62">
        <f t="shared" si="3"/>
        <v>21942.36153846154</v>
      </c>
      <c r="R18" s="62">
        <f t="shared" si="3"/>
        <v>21942.36153846154</v>
      </c>
      <c r="S18" s="62">
        <f t="shared" si="3"/>
        <v>21942.36153846154</v>
      </c>
      <c r="T18" s="62">
        <f t="shared" si="3"/>
        <v>21942.36153846154</v>
      </c>
      <c r="U18" s="62">
        <f t="shared" si="3"/>
        <v>21942.36153846154</v>
      </c>
      <c r="V18" s="62">
        <f t="shared" si="3"/>
        <v>21942.36153846154</v>
      </c>
      <c r="W18" s="62">
        <f t="shared" si="3"/>
        <v>21942.36153846154</v>
      </c>
      <c r="X18" s="62">
        <f t="shared" si="3"/>
        <v>21942.36153846154</v>
      </c>
      <c r="Y18" s="62">
        <f t="shared" si="3"/>
        <v>21942.36153846154</v>
      </c>
      <c r="Z18" s="62">
        <f t="shared" si="3"/>
        <v>21942.36153846154</v>
      </c>
      <c r="AA18" s="62">
        <f t="shared" si="3"/>
        <v>21942.36153846154</v>
      </c>
      <c r="AB18" s="62">
        <f t="shared" si="3"/>
        <v>21942.36153846154</v>
      </c>
      <c r="AC18" s="62">
        <f t="shared" si="3"/>
        <v>21942.36153846154</v>
      </c>
      <c r="AD18" s="62">
        <f t="shared" si="3"/>
        <v>21942.36153846154</v>
      </c>
      <c r="AE18" s="62">
        <f t="shared" si="3"/>
        <v>21942.36153846154</v>
      </c>
      <c r="AF18" s="62">
        <f t="shared" si="3"/>
        <v>21942.36153846154</v>
      </c>
      <c r="AG18" s="62">
        <f t="shared" si="3"/>
        <v>21942.36153846154</v>
      </c>
      <c r="AH18" s="62">
        <f t="shared" si="3"/>
        <v>21942.36153846154</v>
      </c>
      <c r="AI18" s="62">
        <f t="shared" ref="AI18:BB18" si="4">SUM(AI15:AI17)</f>
        <v>21942.36153846154</v>
      </c>
      <c r="AJ18" s="62">
        <f t="shared" si="4"/>
        <v>21942.36153846154</v>
      </c>
      <c r="AK18" s="62">
        <f t="shared" si="4"/>
        <v>21942.36153846154</v>
      </c>
      <c r="AL18" s="62">
        <f t="shared" si="4"/>
        <v>21942.36153846154</v>
      </c>
      <c r="AM18" s="62">
        <f t="shared" si="4"/>
        <v>21942.36153846154</v>
      </c>
      <c r="AN18" s="62">
        <f t="shared" si="4"/>
        <v>21942.36153846154</v>
      </c>
      <c r="AO18" s="62">
        <f t="shared" si="4"/>
        <v>21942.36153846154</v>
      </c>
      <c r="AP18" s="62">
        <f t="shared" si="4"/>
        <v>21942.36153846154</v>
      </c>
      <c r="AQ18" s="62">
        <f t="shared" si="4"/>
        <v>21942.36153846154</v>
      </c>
      <c r="AR18" s="62">
        <f t="shared" si="4"/>
        <v>21942.36153846154</v>
      </c>
      <c r="AS18" s="62">
        <f t="shared" si="4"/>
        <v>21942.36153846154</v>
      </c>
      <c r="AT18" s="62">
        <f t="shared" si="4"/>
        <v>21942.36153846154</v>
      </c>
      <c r="AU18" s="62">
        <f t="shared" si="4"/>
        <v>21942.36153846154</v>
      </c>
      <c r="AV18" s="62">
        <f t="shared" si="4"/>
        <v>21942.36153846154</v>
      </c>
      <c r="AW18" s="62">
        <f t="shared" si="4"/>
        <v>21942.36153846154</v>
      </c>
      <c r="AX18" s="62">
        <f t="shared" si="4"/>
        <v>21942.36153846154</v>
      </c>
      <c r="AY18" s="62">
        <f t="shared" si="4"/>
        <v>21942.36153846154</v>
      </c>
      <c r="AZ18" s="62">
        <f t="shared" si="4"/>
        <v>21942.36153846154</v>
      </c>
      <c r="BA18" s="62">
        <f t="shared" si="4"/>
        <v>21942.36153846154</v>
      </c>
      <c r="BB18" s="62">
        <f t="shared" si="4"/>
        <v>21942.36153846154</v>
      </c>
      <c r="BC18" s="64">
        <f t="shared" si="0"/>
        <v>1141002.8</v>
      </c>
    </row>
    <row r="19" spans="2:55" x14ac:dyDescent="0.25">
      <c r="B19" s="74" t="s">
        <v>375</v>
      </c>
      <c r="C19" s="75">
        <f>C18/C9</f>
        <v>0.71241433566433565</v>
      </c>
      <c r="D19" s="75">
        <f t="shared" ref="D19:BC19" si="5">D18/D9</f>
        <v>0.97956971153846162</v>
      </c>
      <c r="E19" s="75">
        <f t="shared" si="5"/>
        <v>0.97956971153846162</v>
      </c>
      <c r="F19" s="75">
        <f t="shared" si="5"/>
        <v>0.97956971153846162</v>
      </c>
      <c r="G19" s="75">
        <f t="shared" si="5"/>
        <v>0.87072863247863252</v>
      </c>
      <c r="H19" s="75">
        <f t="shared" si="5"/>
        <v>0.87072863247863252</v>
      </c>
      <c r="I19" s="75">
        <f t="shared" si="5"/>
        <v>0.87072863247863252</v>
      </c>
      <c r="J19" s="75">
        <f t="shared" si="5"/>
        <v>0.87072863247863252</v>
      </c>
      <c r="K19" s="75">
        <f t="shared" si="5"/>
        <v>0.78365576923076929</v>
      </c>
      <c r="L19" s="75">
        <f t="shared" si="5"/>
        <v>0.78365576923076929</v>
      </c>
      <c r="M19" s="75">
        <f t="shared" si="5"/>
        <v>0.78365576923076929</v>
      </c>
      <c r="N19" s="75">
        <f t="shared" si="5"/>
        <v>0.78365576923076929</v>
      </c>
      <c r="O19" s="75">
        <f t="shared" si="5"/>
        <v>0.78365576923076929</v>
      </c>
      <c r="P19" s="75">
        <f t="shared" si="5"/>
        <v>0.78365576923076929</v>
      </c>
      <c r="Q19" s="75">
        <f t="shared" si="5"/>
        <v>0.78365576923076929</v>
      </c>
      <c r="R19" s="75">
        <f t="shared" si="5"/>
        <v>0.78365576923076929</v>
      </c>
      <c r="S19" s="75">
        <f t="shared" si="5"/>
        <v>0.78365576923076929</v>
      </c>
      <c r="T19" s="75">
        <f t="shared" si="5"/>
        <v>0.78365576923076929</v>
      </c>
      <c r="U19" s="75">
        <f t="shared" si="5"/>
        <v>0.78365576923076929</v>
      </c>
      <c r="V19" s="75">
        <f t="shared" si="5"/>
        <v>0.78365576923076929</v>
      </c>
      <c r="W19" s="75">
        <f t="shared" si="5"/>
        <v>0.78365576923076929</v>
      </c>
      <c r="X19" s="75">
        <f t="shared" si="5"/>
        <v>0.78365576923076929</v>
      </c>
      <c r="Y19" s="75">
        <f t="shared" si="5"/>
        <v>0.78365576923076929</v>
      </c>
      <c r="Z19" s="75">
        <f t="shared" si="5"/>
        <v>0.78365576923076929</v>
      </c>
      <c r="AA19" s="75">
        <f t="shared" si="5"/>
        <v>0.78365576923076929</v>
      </c>
      <c r="AB19" s="75">
        <f t="shared" si="5"/>
        <v>0.78365576923076929</v>
      </c>
      <c r="AC19" s="75">
        <f t="shared" si="5"/>
        <v>0.78365576923076929</v>
      </c>
      <c r="AD19" s="75">
        <f t="shared" si="5"/>
        <v>0.78365576923076929</v>
      </c>
      <c r="AE19" s="75">
        <f t="shared" si="5"/>
        <v>0.78365576923076929</v>
      </c>
      <c r="AF19" s="75">
        <f t="shared" si="5"/>
        <v>0.78365576923076929</v>
      </c>
      <c r="AG19" s="75">
        <f t="shared" si="5"/>
        <v>0.78365576923076929</v>
      </c>
      <c r="AH19" s="75">
        <f t="shared" si="5"/>
        <v>0.78365576923076929</v>
      </c>
      <c r="AI19" s="75">
        <f t="shared" si="5"/>
        <v>0.78365576923076929</v>
      </c>
      <c r="AJ19" s="75">
        <f t="shared" si="5"/>
        <v>0.78365576923076929</v>
      </c>
      <c r="AK19" s="75">
        <f t="shared" si="5"/>
        <v>0.78365576923076929</v>
      </c>
      <c r="AL19" s="75">
        <f t="shared" si="5"/>
        <v>0.78365576923076929</v>
      </c>
      <c r="AM19" s="75">
        <f t="shared" si="5"/>
        <v>0.78365576923076929</v>
      </c>
      <c r="AN19" s="75">
        <f t="shared" si="5"/>
        <v>0.78365576923076929</v>
      </c>
      <c r="AO19" s="75">
        <f t="shared" si="5"/>
        <v>0.78365576923076929</v>
      </c>
      <c r="AP19" s="75">
        <f t="shared" si="5"/>
        <v>0.78365576923076929</v>
      </c>
      <c r="AQ19" s="75">
        <f t="shared" si="5"/>
        <v>0.78365576923076929</v>
      </c>
      <c r="AR19" s="75">
        <f t="shared" si="5"/>
        <v>0.78365576923076929</v>
      </c>
      <c r="AS19" s="75">
        <f t="shared" si="5"/>
        <v>0.78365576923076929</v>
      </c>
      <c r="AT19" s="75">
        <f t="shared" si="5"/>
        <v>0.78365576923076929</v>
      </c>
      <c r="AU19" s="75">
        <f t="shared" si="5"/>
        <v>0.78365576923076929</v>
      </c>
      <c r="AV19" s="75">
        <f t="shared" si="5"/>
        <v>0.78365576923076929</v>
      </c>
      <c r="AW19" s="75">
        <f t="shared" si="5"/>
        <v>0.78365576923076929</v>
      </c>
      <c r="AX19" s="75">
        <f t="shared" si="5"/>
        <v>0.78365576923076929</v>
      </c>
      <c r="AY19" s="75">
        <f t="shared" si="5"/>
        <v>0.78365576923076929</v>
      </c>
      <c r="AZ19" s="75">
        <f t="shared" si="5"/>
        <v>0.78365576923076929</v>
      </c>
      <c r="BA19" s="75">
        <f t="shared" si="5"/>
        <v>0.78365576923076929</v>
      </c>
      <c r="BB19" s="75">
        <f t="shared" si="5"/>
        <v>0.78365576923076929</v>
      </c>
      <c r="BC19" s="75">
        <f t="shared" si="5"/>
        <v>0.79745792563600781</v>
      </c>
    </row>
    <row r="20" spans="2:55" x14ac:dyDescent="0.25">
      <c r="BC20" s="8"/>
    </row>
    <row r="21" spans="2:55" ht="15.75" thickBot="1" x14ac:dyDescent="0.3">
      <c r="B21" s="29" t="s">
        <v>137</v>
      </c>
      <c r="C21" s="30">
        <f t="shared" ref="C21:AH21" si="6">C11-C18</f>
        <v>-12375.881538461541</v>
      </c>
      <c r="D21" s="30">
        <f t="shared" si="6"/>
        <v>-14984.921538461542</v>
      </c>
      <c r="E21" s="30">
        <f t="shared" si="6"/>
        <v>-14984.921538461542</v>
      </c>
      <c r="F21" s="30">
        <f t="shared" si="6"/>
        <v>-14984.921538461542</v>
      </c>
      <c r="G21" s="30">
        <f t="shared" si="6"/>
        <v>-14115.241538461541</v>
      </c>
      <c r="H21" s="30">
        <f t="shared" si="6"/>
        <v>-14115.241538461541</v>
      </c>
      <c r="I21" s="30">
        <f t="shared" si="6"/>
        <v>-14115.241538461541</v>
      </c>
      <c r="J21" s="30">
        <f t="shared" si="6"/>
        <v>-14115.241538461541</v>
      </c>
      <c r="K21" s="30">
        <f t="shared" si="6"/>
        <v>-13245.561538461541</v>
      </c>
      <c r="L21" s="30">
        <f t="shared" si="6"/>
        <v>-13245.561538461541</v>
      </c>
      <c r="M21" s="30">
        <f t="shared" si="6"/>
        <v>-13245.561538461541</v>
      </c>
      <c r="N21" s="30">
        <f t="shared" si="6"/>
        <v>-13245.561538461541</v>
      </c>
      <c r="O21" s="30">
        <f t="shared" si="6"/>
        <v>-13245.561538461541</v>
      </c>
      <c r="P21" s="30">
        <f t="shared" si="6"/>
        <v>-13245.561538461541</v>
      </c>
      <c r="Q21" s="30">
        <f t="shared" si="6"/>
        <v>-13245.561538461541</v>
      </c>
      <c r="R21" s="30">
        <f t="shared" si="6"/>
        <v>-13245.561538461541</v>
      </c>
      <c r="S21" s="30">
        <f t="shared" si="6"/>
        <v>-13245.561538461541</v>
      </c>
      <c r="T21" s="30">
        <f t="shared" si="6"/>
        <v>-13245.561538461541</v>
      </c>
      <c r="U21" s="30">
        <f t="shared" si="6"/>
        <v>-13245.561538461541</v>
      </c>
      <c r="V21" s="30">
        <f t="shared" si="6"/>
        <v>-13245.561538461541</v>
      </c>
      <c r="W21" s="30">
        <f t="shared" si="6"/>
        <v>-13245.561538461541</v>
      </c>
      <c r="X21" s="30">
        <f t="shared" si="6"/>
        <v>-13245.561538461541</v>
      </c>
      <c r="Y21" s="30">
        <f t="shared" si="6"/>
        <v>-13245.561538461541</v>
      </c>
      <c r="Z21" s="30">
        <f t="shared" si="6"/>
        <v>-13245.561538461541</v>
      </c>
      <c r="AA21" s="30">
        <f t="shared" si="6"/>
        <v>-13245.561538461541</v>
      </c>
      <c r="AB21" s="30">
        <f t="shared" si="6"/>
        <v>-13245.561538461541</v>
      </c>
      <c r="AC21" s="30">
        <f t="shared" si="6"/>
        <v>-13245.561538461541</v>
      </c>
      <c r="AD21" s="30">
        <f t="shared" si="6"/>
        <v>-13245.561538461541</v>
      </c>
      <c r="AE21" s="30">
        <f t="shared" si="6"/>
        <v>-13245.561538461541</v>
      </c>
      <c r="AF21" s="30">
        <f t="shared" si="6"/>
        <v>-13245.561538461541</v>
      </c>
      <c r="AG21" s="30">
        <f t="shared" si="6"/>
        <v>-13245.561538461541</v>
      </c>
      <c r="AH21" s="30">
        <f t="shared" si="6"/>
        <v>-13245.561538461541</v>
      </c>
      <c r="AI21" s="30">
        <f t="shared" ref="AI21:BB21" si="7">AI11-AI18</f>
        <v>-13245.561538461541</v>
      </c>
      <c r="AJ21" s="30">
        <f t="shared" si="7"/>
        <v>-13245.561538461541</v>
      </c>
      <c r="AK21" s="30">
        <f t="shared" si="7"/>
        <v>-13245.561538461541</v>
      </c>
      <c r="AL21" s="30">
        <f t="shared" si="7"/>
        <v>-13245.561538461541</v>
      </c>
      <c r="AM21" s="30">
        <f t="shared" si="7"/>
        <v>-13245.561538461541</v>
      </c>
      <c r="AN21" s="30">
        <f t="shared" si="7"/>
        <v>-13245.561538461541</v>
      </c>
      <c r="AO21" s="30">
        <f t="shared" si="7"/>
        <v>-13245.561538461541</v>
      </c>
      <c r="AP21" s="30">
        <f t="shared" si="7"/>
        <v>-13245.561538461541</v>
      </c>
      <c r="AQ21" s="30">
        <f t="shared" si="7"/>
        <v>-13245.561538461541</v>
      </c>
      <c r="AR21" s="30">
        <f t="shared" si="7"/>
        <v>-13245.561538461541</v>
      </c>
      <c r="AS21" s="30">
        <f t="shared" si="7"/>
        <v>-13245.561538461541</v>
      </c>
      <c r="AT21" s="30">
        <f t="shared" si="7"/>
        <v>-13245.561538461541</v>
      </c>
      <c r="AU21" s="30">
        <f t="shared" si="7"/>
        <v>-13245.561538461541</v>
      </c>
      <c r="AV21" s="30">
        <f t="shared" si="7"/>
        <v>-13245.561538461541</v>
      </c>
      <c r="AW21" s="30">
        <f t="shared" si="7"/>
        <v>-13245.561538461541</v>
      </c>
      <c r="AX21" s="30">
        <f t="shared" si="7"/>
        <v>-13245.561538461541</v>
      </c>
      <c r="AY21" s="30">
        <f t="shared" si="7"/>
        <v>-13245.561538461541</v>
      </c>
      <c r="AZ21" s="30">
        <f t="shared" si="7"/>
        <v>-13245.561538461541</v>
      </c>
      <c r="BA21" s="30">
        <f t="shared" si="7"/>
        <v>-13245.561538461541</v>
      </c>
      <c r="BB21" s="30">
        <f t="shared" si="7"/>
        <v>-13245.561538461541</v>
      </c>
      <c r="BC21" s="52">
        <f t="shared" si="0"/>
        <v>-696596.32000000076</v>
      </c>
    </row>
    <row r="22" spans="2:55" ht="15.75" thickTop="1" x14ac:dyDescent="0.25">
      <c r="B22" s="2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53"/>
    </row>
    <row r="23" spans="2:55" x14ac:dyDescent="0.25">
      <c r="B23" s="25" t="s">
        <v>315</v>
      </c>
      <c r="C23" s="60">
        <f>(INDEX('Financing Assumptions'!$N$6:$W$6,MATCH(C6,'Financing Assumptions'!$N$4:$W$4,0)))/52</f>
        <v>0</v>
      </c>
      <c r="D23" s="60">
        <f>(INDEX('Financing Assumptions'!$N$6:$W$6,MATCH(D6,'Financing Assumptions'!$N$4:$W$4,0)))/52</f>
        <v>0</v>
      </c>
      <c r="E23" s="60">
        <f>(INDEX('Financing Assumptions'!$N$6:$W$6,MATCH(E6,'Financing Assumptions'!$N$4:$W$4,0)))/52</f>
        <v>0</v>
      </c>
      <c r="F23" s="60">
        <f>(INDEX('Financing Assumptions'!$N$6:$W$6,MATCH(F6,'Financing Assumptions'!$N$4:$W$4,0)))/52</f>
        <v>0</v>
      </c>
      <c r="G23" s="60">
        <f>(INDEX('Financing Assumptions'!$N$6:$W$6,MATCH(G6,'Financing Assumptions'!$N$4:$W$4,0)))/52</f>
        <v>0</v>
      </c>
      <c r="H23" s="60">
        <f>(INDEX('Financing Assumptions'!$N$6:$W$6,MATCH(H6,'Financing Assumptions'!$N$4:$W$4,0)))/52</f>
        <v>0</v>
      </c>
      <c r="I23" s="60">
        <f>(INDEX('Financing Assumptions'!$N$6:$W$6,MATCH(I6,'Financing Assumptions'!$N$4:$W$4,0)))/52</f>
        <v>0</v>
      </c>
      <c r="J23" s="60">
        <f>(INDEX('Financing Assumptions'!$N$6:$W$6,MATCH(J6,'Financing Assumptions'!$N$4:$W$4,0)))/52</f>
        <v>0</v>
      </c>
      <c r="K23" s="60">
        <f>(INDEX('Financing Assumptions'!$N$6:$W$6,MATCH(K6,'Financing Assumptions'!$N$4:$W$4,0)))/52</f>
        <v>0</v>
      </c>
      <c r="L23" s="60">
        <f>(INDEX('Financing Assumptions'!$N$6:$W$6,MATCH(L6,'Financing Assumptions'!$N$4:$W$4,0)))/52</f>
        <v>0</v>
      </c>
      <c r="M23" s="60">
        <f>(INDEX('Financing Assumptions'!$N$6:$W$6,MATCH(M6,'Financing Assumptions'!$N$4:$W$4,0)))/52</f>
        <v>0</v>
      </c>
      <c r="N23" s="60">
        <f>(INDEX('Financing Assumptions'!$N$6:$W$6,MATCH(N6,'Financing Assumptions'!$N$4:$W$4,0)))/52</f>
        <v>0</v>
      </c>
      <c r="O23" s="60">
        <f>(INDEX('Financing Assumptions'!$N$6:$W$6,MATCH(O6,'Financing Assumptions'!$N$4:$W$4,0)))/52</f>
        <v>0</v>
      </c>
      <c r="P23" s="60">
        <f>(INDEX('Financing Assumptions'!$N$6:$W$6,MATCH(P6,'Financing Assumptions'!$N$4:$W$4,0)))/52</f>
        <v>0</v>
      </c>
      <c r="Q23" s="60">
        <f>(INDEX('Financing Assumptions'!$N$6:$W$6,MATCH(Q6,'Financing Assumptions'!$N$4:$W$4,0)))/52</f>
        <v>0</v>
      </c>
      <c r="R23" s="60">
        <f>(INDEX('Financing Assumptions'!$N$6:$W$6,MATCH(R6,'Financing Assumptions'!$N$4:$W$4,0)))/52</f>
        <v>0</v>
      </c>
      <c r="S23" s="60">
        <f>(INDEX('Financing Assumptions'!$N$6:$W$6,MATCH(S6,'Financing Assumptions'!$N$4:$W$4,0)))/52</f>
        <v>0</v>
      </c>
      <c r="T23" s="60">
        <f>(INDEX('Financing Assumptions'!$N$6:$W$6,MATCH(T6,'Financing Assumptions'!$N$4:$W$4,0)))/52</f>
        <v>0</v>
      </c>
      <c r="U23" s="60">
        <f>(INDEX('Financing Assumptions'!$N$6:$W$6,MATCH(U6,'Financing Assumptions'!$N$4:$W$4,0)))/52</f>
        <v>0</v>
      </c>
      <c r="V23" s="60">
        <f>(INDEX('Financing Assumptions'!$N$6:$W$6,MATCH(V6,'Financing Assumptions'!$N$4:$W$4,0)))/52</f>
        <v>0</v>
      </c>
      <c r="W23" s="60">
        <f>(INDEX('Financing Assumptions'!$N$6:$W$6,MATCH(W6,'Financing Assumptions'!$N$4:$W$4,0)))/52</f>
        <v>0</v>
      </c>
      <c r="X23" s="60">
        <f>(INDEX('Financing Assumptions'!$N$6:$W$6,MATCH(X6,'Financing Assumptions'!$N$4:$W$4,0)))/52</f>
        <v>0</v>
      </c>
      <c r="Y23" s="60">
        <f>(INDEX('Financing Assumptions'!$N$6:$W$6,MATCH(Y6,'Financing Assumptions'!$N$4:$W$4,0)))/52</f>
        <v>0</v>
      </c>
      <c r="Z23" s="60">
        <f>(INDEX('Financing Assumptions'!$N$6:$W$6,MATCH(Z6,'Financing Assumptions'!$N$4:$W$4,0)))/52</f>
        <v>0</v>
      </c>
      <c r="AA23" s="60">
        <f>(INDEX('Financing Assumptions'!$N$6:$W$6,MATCH(AA6,'Financing Assumptions'!$N$4:$W$4,0)))/52</f>
        <v>0</v>
      </c>
      <c r="AB23" s="60">
        <f>(INDEX('Financing Assumptions'!$N$6:$W$6,MATCH(AB6,'Financing Assumptions'!$N$4:$W$4,0)))/52</f>
        <v>0</v>
      </c>
      <c r="AC23" s="60">
        <f>(INDEX('Financing Assumptions'!$N$6:$W$6,MATCH(AC6,'Financing Assumptions'!$N$4:$W$4,0)))/52</f>
        <v>0</v>
      </c>
      <c r="AD23" s="60">
        <f>(INDEX('Financing Assumptions'!$N$6:$W$6,MATCH(AD6,'Financing Assumptions'!$N$4:$W$4,0)))/52</f>
        <v>0</v>
      </c>
      <c r="AE23" s="60">
        <f>(INDEX('Financing Assumptions'!$N$6:$W$6,MATCH(AE6,'Financing Assumptions'!$N$4:$W$4,0)))/52</f>
        <v>0</v>
      </c>
      <c r="AF23" s="60">
        <f>(INDEX('Financing Assumptions'!$N$6:$W$6,MATCH(AF6,'Financing Assumptions'!$N$4:$W$4,0)))/52</f>
        <v>0</v>
      </c>
      <c r="AG23" s="60">
        <f>(INDEX('Financing Assumptions'!$N$6:$W$6,MATCH(AG6,'Financing Assumptions'!$N$4:$W$4,0)))/52</f>
        <v>0</v>
      </c>
      <c r="AH23" s="60">
        <f>(INDEX('Financing Assumptions'!$N$6:$W$6,MATCH(AH6,'Financing Assumptions'!$N$4:$W$4,0)))/52</f>
        <v>0</v>
      </c>
      <c r="AI23" s="60">
        <f>(INDEX('Financing Assumptions'!$N$6:$W$6,MATCH(AI6,'Financing Assumptions'!$N$4:$W$4,0)))/52</f>
        <v>0</v>
      </c>
      <c r="AJ23" s="60">
        <f>(INDEX('Financing Assumptions'!$N$6:$W$6,MATCH(AJ6,'Financing Assumptions'!$N$4:$W$4,0)))/52</f>
        <v>0</v>
      </c>
      <c r="AK23" s="60">
        <f>(INDEX('Financing Assumptions'!$N$6:$W$6,MATCH(AK6,'Financing Assumptions'!$N$4:$W$4,0)))/52</f>
        <v>0</v>
      </c>
      <c r="AL23" s="60">
        <f>(INDEX('Financing Assumptions'!$N$6:$W$6,MATCH(AL6,'Financing Assumptions'!$N$4:$W$4,0)))/52</f>
        <v>0</v>
      </c>
      <c r="AM23" s="60">
        <f>(INDEX('Financing Assumptions'!$N$6:$W$6,MATCH(AM6,'Financing Assumptions'!$N$4:$W$4,0)))/52</f>
        <v>0</v>
      </c>
      <c r="AN23" s="60">
        <f>(INDEX('Financing Assumptions'!$N$6:$W$6,MATCH(AN6,'Financing Assumptions'!$N$4:$W$4,0)))/52</f>
        <v>0</v>
      </c>
      <c r="AO23" s="60">
        <f>(INDEX('Financing Assumptions'!$N$6:$W$6,MATCH(AO6,'Financing Assumptions'!$N$4:$W$4,0)))/52</f>
        <v>0</v>
      </c>
      <c r="AP23" s="60">
        <f>(INDEX('Financing Assumptions'!$N$6:$W$6,MATCH(AP6,'Financing Assumptions'!$N$4:$W$4,0)))/52</f>
        <v>0</v>
      </c>
      <c r="AQ23" s="60">
        <f>(INDEX('Financing Assumptions'!$N$6:$W$6,MATCH(AQ6,'Financing Assumptions'!$N$4:$W$4,0)))/52</f>
        <v>0</v>
      </c>
      <c r="AR23" s="60">
        <f>(INDEX('Financing Assumptions'!$N$6:$W$6,MATCH(AR6,'Financing Assumptions'!$N$4:$W$4,0)))/52</f>
        <v>0</v>
      </c>
      <c r="AS23" s="60">
        <f>(INDEX('Financing Assumptions'!$N$6:$W$6,MATCH(AS6,'Financing Assumptions'!$N$4:$W$4,0)))/52</f>
        <v>0</v>
      </c>
      <c r="AT23" s="60">
        <f>(INDEX('Financing Assumptions'!$N$6:$W$6,MATCH(AT6,'Financing Assumptions'!$N$4:$W$4,0)))/52</f>
        <v>0</v>
      </c>
      <c r="AU23" s="60">
        <f>(INDEX('Financing Assumptions'!$N$6:$W$6,MATCH(AU6,'Financing Assumptions'!$N$4:$W$4,0)))/52</f>
        <v>0</v>
      </c>
      <c r="AV23" s="60">
        <f>(INDEX('Financing Assumptions'!$N$6:$W$6,MATCH(AV6,'Financing Assumptions'!$N$4:$W$4,0)))/52</f>
        <v>0</v>
      </c>
      <c r="AW23" s="60">
        <f>(INDEX('Financing Assumptions'!$N$6:$W$6,MATCH(AW6,'Financing Assumptions'!$N$4:$W$4,0)))/52</f>
        <v>0</v>
      </c>
      <c r="AX23" s="60">
        <f>(INDEX('Financing Assumptions'!$N$6:$W$6,MATCH(AX6,'Financing Assumptions'!$N$4:$W$4,0)))/52</f>
        <v>0</v>
      </c>
      <c r="AY23" s="60">
        <f>(INDEX('Financing Assumptions'!$N$6:$W$6,MATCH(AY6,'Financing Assumptions'!$N$4:$W$4,0)))/52</f>
        <v>0</v>
      </c>
      <c r="AZ23" s="60">
        <f>(INDEX('Financing Assumptions'!$N$6:$W$6,MATCH(AZ6,'Financing Assumptions'!$N$4:$W$4,0)))/52</f>
        <v>0</v>
      </c>
      <c r="BA23" s="60">
        <f>(INDEX('Financing Assumptions'!$N$6:$W$6,MATCH(BA6,'Financing Assumptions'!$N$4:$W$4,0)))/52</f>
        <v>0</v>
      </c>
      <c r="BB23" s="60">
        <f>(INDEX('Financing Assumptions'!$N$6:$W$6,MATCH(BB6,'Financing Assumptions'!$N$4:$W$4,0)))/52</f>
        <v>0</v>
      </c>
      <c r="BC23" s="65">
        <f>SUM(C23:BB23)</f>
        <v>0</v>
      </c>
    </row>
    <row r="24" spans="2:55" x14ac:dyDescent="0.25">
      <c r="B24" s="74" t="s">
        <v>446</v>
      </c>
      <c r="C24" s="60">
        <f>'Income Statement (Yr)'!$D$32/52</f>
        <v>0</v>
      </c>
      <c r="D24" s="60">
        <f>'Income Statement (Yr)'!$D$32/52</f>
        <v>0</v>
      </c>
      <c r="E24" s="60">
        <f>'Income Statement (Yr)'!$D$32/52</f>
        <v>0</v>
      </c>
      <c r="F24" s="60">
        <f>'Income Statement (Yr)'!$D$32/52</f>
        <v>0</v>
      </c>
      <c r="G24" s="60">
        <f>'Income Statement (Yr)'!$D$32/52</f>
        <v>0</v>
      </c>
      <c r="H24" s="60">
        <f>'Income Statement (Yr)'!$D$32/52</f>
        <v>0</v>
      </c>
      <c r="I24" s="60">
        <f>'Income Statement (Yr)'!$D$32/52</f>
        <v>0</v>
      </c>
      <c r="J24" s="60">
        <f>'Income Statement (Yr)'!$D$32/52</f>
        <v>0</v>
      </c>
      <c r="K24" s="60">
        <f>'Income Statement (Yr)'!$D$32/52</f>
        <v>0</v>
      </c>
      <c r="L24" s="60">
        <f>'Income Statement (Yr)'!$D$32/52</f>
        <v>0</v>
      </c>
      <c r="M24" s="60">
        <f>'Income Statement (Yr)'!$D$32/52</f>
        <v>0</v>
      </c>
      <c r="N24" s="60">
        <f>'Income Statement (Yr)'!$D$32/52</f>
        <v>0</v>
      </c>
      <c r="O24" s="60">
        <f>'Income Statement (Yr)'!$D$32/52</f>
        <v>0</v>
      </c>
      <c r="P24" s="60">
        <f>'Income Statement (Yr)'!$D$32/52</f>
        <v>0</v>
      </c>
      <c r="Q24" s="60">
        <f>'Income Statement (Yr)'!$D$32/52</f>
        <v>0</v>
      </c>
      <c r="R24" s="60">
        <f>'Income Statement (Yr)'!$D$32/52</f>
        <v>0</v>
      </c>
      <c r="S24" s="60">
        <f>'Income Statement (Yr)'!$D$32/52</f>
        <v>0</v>
      </c>
      <c r="T24" s="60">
        <f>'Income Statement (Yr)'!$D$32/52</f>
        <v>0</v>
      </c>
      <c r="U24" s="60">
        <f>'Income Statement (Yr)'!$D$32/52</f>
        <v>0</v>
      </c>
      <c r="V24" s="60">
        <f>'Income Statement (Yr)'!$D$32/52</f>
        <v>0</v>
      </c>
      <c r="W24" s="60">
        <f>'Income Statement (Yr)'!$D$32/52</f>
        <v>0</v>
      </c>
      <c r="X24" s="60">
        <f>'Income Statement (Yr)'!$D$32/52</f>
        <v>0</v>
      </c>
      <c r="Y24" s="60">
        <f>'Income Statement (Yr)'!$D$32/52</f>
        <v>0</v>
      </c>
      <c r="Z24" s="60">
        <f>'Income Statement (Yr)'!$D$32/52</f>
        <v>0</v>
      </c>
      <c r="AA24" s="60">
        <f>'Income Statement (Yr)'!$D$32/52</f>
        <v>0</v>
      </c>
      <c r="AB24" s="60">
        <f>'Income Statement (Yr)'!$D$32/52</f>
        <v>0</v>
      </c>
      <c r="AC24" s="60">
        <f>'Income Statement (Yr)'!$D$32/52</f>
        <v>0</v>
      </c>
      <c r="AD24" s="60">
        <f>'Income Statement (Yr)'!$D$32/52</f>
        <v>0</v>
      </c>
      <c r="AE24" s="60">
        <f>'Income Statement (Yr)'!$D$32/52</f>
        <v>0</v>
      </c>
      <c r="AF24" s="60">
        <f>'Income Statement (Yr)'!$D$32/52</f>
        <v>0</v>
      </c>
      <c r="AG24" s="60">
        <f>'Income Statement (Yr)'!$D$32/52</f>
        <v>0</v>
      </c>
      <c r="AH24" s="60">
        <f>'Income Statement (Yr)'!$D$32/52</f>
        <v>0</v>
      </c>
      <c r="AI24" s="60">
        <f>'Income Statement (Yr)'!$D$32/52</f>
        <v>0</v>
      </c>
      <c r="AJ24" s="60">
        <f>'Income Statement (Yr)'!$D$32/52</f>
        <v>0</v>
      </c>
      <c r="AK24" s="60">
        <f>'Income Statement (Yr)'!$D$32/52</f>
        <v>0</v>
      </c>
      <c r="AL24" s="60">
        <f>'Income Statement (Yr)'!$D$32/52</f>
        <v>0</v>
      </c>
      <c r="AM24" s="60">
        <f>'Income Statement (Yr)'!$D$32/52</f>
        <v>0</v>
      </c>
      <c r="AN24" s="60">
        <f>'Income Statement (Yr)'!$D$32/52</f>
        <v>0</v>
      </c>
      <c r="AO24" s="60">
        <f>'Income Statement (Yr)'!$D$32/52</f>
        <v>0</v>
      </c>
      <c r="AP24" s="60">
        <f>'Income Statement (Yr)'!$D$32/52</f>
        <v>0</v>
      </c>
      <c r="AQ24" s="60">
        <f>'Income Statement (Yr)'!$D$32/52</f>
        <v>0</v>
      </c>
      <c r="AR24" s="60">
        <f>'Income Statement (Yr)'!$D$32/52</f>
        <v>0</v>
      </c>
      <c r="AS24" s="60">
        <f>'Income Statement (Yr)'!$D$32/52</f>
        <v>0</v>
      </c>
      <c r="AT24" s="60">
        <f>'Income Statement (Yr)'!$D$32/52</f>
        <v>0</v>
      </c>
      <c r="AU24" s="60">
        <f>'Income Statement (Yr)'!$D$32/52</f>
        <v>0</v>
      </c>
      <c r="AV24" s="60">
        <f>'Income Statement (Yr)'!$D$32/52</f>
        <v>0</v>
      </c>
      <c r="AW24" s="60">
        <f>'Income Statement (Yr)'!$D$32/52</f>
        <v>0</v>
      </c>
      <c r="AX24" s="60">
        <f>'Income Statement (Yr)'!$D$32/52</f>
        <v>0</v>
      </c>
      <c r="AY24" s="60">
        <f>'Income Statement (Yr)'!$D$32/52</f>
        <v>0</v>
      </c>
      <c r="AZ24" s="60">
        <f>'Income Statement (Yr)'!$D$32/52</f>
        <v>0</v>
      </c>
      <c r="BA24" s="60">
        <f>'Income Statement (Yr)'!$D$32/52</f>
        <v>0</v>
      </c>
      <c r="BB24" s="60">
        <f>'Income Statement (Yr)'!$D$32/52</f>
        <v>0</v>
      </c>
      <c r="BC24" s="65">
        <f>SUM(C24:BB24)</f>
        <v>0</v>
      </c>
    </row>
    <row r="25" spans="2:55" x14ac:dyDescent="0.25">
      <c r="B25" s="16" t="s">
        <v>139</v>
      </c>
      <c r="C25" s="32">
        <f>'Operating Expense Assumptions'!$C$55/52</f>
        <v>192.30769230769232</v>
      </c>
      <c r="D25" s="32">
        <f>'Operating Expense Assumptions'!$C$55/52</f>
        <v>192.30769230769232</v>
      </c>
      <c r="E25" s="32">
        <f>'Operating Expense Assumptions'!$C$55/52</f>
        <v>192.30769230769232</v>
      </c>
      <c r="F25" s="32">
        <f>'Operating Expense Assumptions'!$C$55/52</f>
        <v>192.30769230769232</v>
      </c>
      <c r="G25" s="32">
        <f>'Operating Expense Assumptions'!$C$55/52</f>
        <v>192.30769230769232</v>
      </c>
      <c r="H25" s="32">
        <f>'Operating Expense Assumptions'!$C$55/52</f>
        <v>192.30769230769232</v>
      </c>
      <c r="I25" s="32">
        <f>'Operating Expense Assumptions'!$C$55/52</f>
        <v>192.30769230769232</v>
      </c>
      <c r="J25" s="32">
        <f>'Operating Expense Assumptions'!$C$55/52</f>
        <v>192.30769230769232</v>
      </c>
      <c r="K25" s="32">
        <f>'Operating Expense Assumptions'!$C$55/52</f>
        <v>192.30769230769232</v>
      </c>
      <c r="L25" s="32">
        <f>'Operating Expense Assumptions'!$C$55/52</f>
        <v>192.30769230769232</v>
      </c>
      <c r="M25" s="32">
        <f>'Operating Expense Assumptions'!$C$55/52</f>
        <v>192.30769230769232</v>
      </c>
      <c r="N25" s="32">
        <f>'Operating Expense Assumptions'!$C$55/52</f>
        <v>192.30769230769232</v>
      </c>
      <c r="O25" s="32">
        <f>'Operating Expense Assumptions'!$C$55/52</f>
        <v>192.30769230769232</v>
      </c>
      <c r="P25" s="32">
        <f>'Operating Expense Assumptions'!$C$55/52</f>
        <v>192.30769230769232</v>
      </c>
      <c r="Q25" s="32">
        <f>'Operating Expense Assumptions'!$C$55/52</f>
        <v>192.30769230769232</v>
      </c>
      <c r="R25" s="32">
        <f>'Operating Expense Assumptions'!$C$55/52</f>
        <v>192.30769230769232</v>
      </c>
      <c r="S25" s="32">
        <f>'Operating Expense Assumptions'!$C$55/52</f>
        <v>192.30769230769232</v>
      </c>
      <c r="T25" s="32">
        <f>'Operating Expense Assumptions'!$C$55/52</f>
        <v>192.30769230769232</v>
      </c>
      <c r="U25" s="32">
        <f>'Operating Expense Assumptions'!$C$55/52</f>
        <v>192.30769230769232</v>
      </c>
      <c r="V25" s="32">
        <f>'Operating Expense Assumptions'!$C$55/52</f>
        <v>192.30769230769232</v>
      </c>
      <c r="W25" s="32">
        <f>'Operating Expense Assumptions'!$C$55/52</f>
        <v>192.30769230769232</v>
      </c>
      <c r="X25" s="32">
        <f>'Operating Expense Assumptions'!$C$55/52</f>
        <v>192.30769230769232</v>
      </c>
      <c r="Y25" s="32">
        <f>'Operating Expense Assumptions'!$C$55/52</f>
        <v>192.30769230769232</v>
      </c>
      <c r="Z25" s="32">
        <f>'Operating Expense Assumptions'!$C$55/52</f>
        <v>192.30769230769232</v>
      </c>
      <c r="AA25" s="32">
        <f>'Operating Expense Assumptions'!$C$55/52</f>
        <v>192.30769230769232</v>
      </c>
      <c r="AB25" s="32">
        <f>'Operating Expense Assumptions'!$C$55/52</f>
        <v>192.30769230769232</v>
      </c>
      <c r="AC25" s="32">
        <f>'Operating Expense Assumptions'!$C$55/52</f>
        <v>192.30769230769232</v>
      </c>
      <c r="AD25" s="32">
        <f>'Operating Expense Assumptions'!$C$55/52</f>
        <v>192.30769230769232</v>
      </c>
      <c r="AE25" s="32">
        <f>'Operating Expense Assumptions'!$C$55/52</f>
        <v>192.30769230769232</v>
      </c>
      <c r="AF25" s="32">
        <f>'Operating Expense Assumptions'!$C$55/52</f>
        <v>192.30769230769232</v>
      </c>
      <c r="AG25" s="32">
        <f>'Operating Expense Assumptions'!$C$55/52</f>
        <v>192.30769230769232</v>
      </c>
      <c r="AH25" s="32">
        <f>'Operating Expense Assumptions'!$C$55/52</f>
        <v>192.30769230769232</v>
      </c>
      <c r="AI25" s="32">
        <f>'Operating Expense Assumptions'!$C$55/52</f>
        <v>192.30769230769232</v>
      </c>
      <c r="AJ25" s="32">
        <f>'Operating Expense Assumptions'!$C$55/52</f>
        <v>192.30769230769232</v>
      </c>
      <c r="AK25" s="32">
        <f>'Operating Expense Assumptions'!$C$55/52</f>
        <v>192.30769230769232</v>
      </c>
      <c r="AL25" s="32">
        <f>'Operating Expense Assumptions'!$C$55/52</f>
        <v>192.30769230769232</v>
      </c>
      <c r="AM25" s="32">
        <f>'Operating Expense Assumptions'!$C$55/52</f>
        <v>192.30769230769232</v>
      </c>
      <c r="AN25" s="32">
        <f>'Operating Expense Assumptions'!$C$55/52</f>
        <v>192.30769230769232</v>
      </c>
      <c r="AO25" s="32">
        <f>'Operating Expense Assumptions'!$C$55/52</f>
        <v>192.30769230769232</v>
      </c>
      <c r="AP25" s="32">
        <f>'Operating Expense Assumptions'!$C$55/52</f>
        <v>192.30769230769232</v>
      </c>
      <c r="AQ25" s="32">
        <f>'Operating Expense Assumptions'!$C$55/52</f>
        <v>192.30769230769232</v>
      </c>
      <c r="AR25" s="32">
        <f>'Operating Expense Assumptions'!$C$55/52</f>
        <v>192.30769230769232</v>
      </c>
      <c r="AS25" s="32">
        <f>'Operating Expense Assumptions'!$C$55/52</f>
        <v>192.30769230769232</v>
      </c>
      <c r="AT25" s="32">
        <f>'Operating Expense Assumptions'!$C$55/52</f>
        <v>192.30769230769232</v>
      </c>
      <c r="AU25" s="32">
        <f>'Operating Expense Assumptions'!$C$55/52</f>
        <v>192.30769230769232</v>
      </c>
      <c r="AV25" s="32">
        <f>'Operating Expense Assumptions'!$C$55/52</f>
        <v>192.30769230769232</v>
      </c>
      <c r="AW25" s="32">
        <f>'Operating Expense Assumptions'!$C$55/52</f>
        <v>192.30769230769232</v>
      </c>
      <c r="AX25" s="32">
        <f>'Operating Expense Assumptions'!$C$55/52</f>
        <v>192.30769230769232</v>
      </c>
      <c r="AY25" s="32">
        <f>'Operating Expense Assumptions'!$C$55/52</f>
        <v>192.30769230769232</v>
      </c>
      <c r="AZ25" s="32">
        <f>'Operating Expense Assumptions'!$C$55/52</f>
        <v>192.30769230769232</v>
      </c>
      <c r="BA25" s="32">
        <f>'Operating Expense Assumptions'!$C$55/52</f>
        <v>192.30769230769232</v>
      </c>
      <c r="BB25" s="32">
        <f>'Operating Expense Assumptions'!$C$55/52</f>
        <v>192.30769230769232</v>
      </c>
      <c r="BC25" s="51">
        <f t="shared" si="0"/>
        <v>9999.9999999999945</v>
      </c>
    </row>
    <row r="26" spans="2:55" ht="15.75" thickBot="1" x14ac:dyDescent="0.3">
      <c r="B26" s="19" t="s">
        <v>140</v>
      </c>
      <c r="C26" s="55">
        <f>C21-C25-C23-C24</f>
        <v>-12568.189230769232</v>
      </c>
      <c r="D26" s="55">
        <f t="shared" ref="D26:BB26" si="8">D21-D25-D23-D24</f>
        <v>-15177.229230769233</v>
      </c>
      <c r="E26" s="55">
        <f t="shared" si="8"/>
        <v>-15177.229230769233</v>
      </c>
      <c r="F26" s="55">
        <f t="shared" si="8"/>
        <v>-15177.229230769233</v>
      </c>
      <c r="G26" s="55">
        <f t="shared" si="8"/>
        <v>-14307.549230769233</v>
      </c>
      <c r="H26" s="55">
        <f t="shared" si="8"/>
        <v>-14307.549230769233</v>
      </c>
      <c r="I26" s="55">
        <f t="shared" si="8"/>
        <v>-14307.549230769233</v>
      </c>
      <c r="J26" s="55">
        <f t="shared" si="8"/>
        <v>-14307.549230769233</v>
      </c>
      <c r="K26" s="55">
        <f t="shared" si="8"/>
        <v>-13437.869230769233</v>
      </c>
      <c r="L26" s="55">
        <f t="shared" si="8"/>
        <v>-13437.869230769233</v>
      </c>
      <c r="M26" s="55">
        <f t="shared" si="8"/>
        <v>-13437.869230769233</v>
      </c>
      <c r="N26" s="55">
        <f t="shared" si="8"/>
        <v>-13437.869230769233</v>
      </c>
      <c r="O26" s="55">
        <f t="shared" si="8"/>
        <v>-13437.869230769233</v>
      </c>
      <c r="P26" s="55">
        <f t="shared" si="8"/>
        <v>-13437.869230769233</v>
      </c>
      <c r="Q26" s="55">
        <f t="shared" si="8"/>
        <v>-13437.869230769233</v>
      </c>
      <c r="R26" s="55">
        <f t="shared" si="8"/>
        <v>-13437.869230769233</v>
      </c>
      <c r="S26" s="55">
        <f t="shared" si="8"/>
        <v>-13437.869230769233</v>
      </c>
      <c r="T26" s="55">
        <f t="shared" si="8"/>
        <v>-13437.869230769233</v>
      </c>
      <c r="U26" s="55">
        <f t="shared" si="8"/>
        <v>-13437.869230769233</v>
      </c>
      <c r="V26" s="55">
        <f t="shared" si="8"/>
        <v>-13437.869230769233</v>
      </c>
      <c r="W26" s="55">
        <f t="shared" si="8"/>
        <v>-13437.869230769233</v>
      </c>
      <c r="X26" s="55">
        <f t="shared" si="8"/>
        <v>-13437.869230769233</v>
      </c>
      <c r="Y26" s="55">
        <f t="shared" si="8"/>
        <v>-13437.869230769233</v>
      </c>
      <c r="Z26" s="55">
        <f t="shared" si="8"/>
        <v>-13437.869230769233</v>
      </c>
      <c r="AA26" s="55">
        <f t="shared" si="8"/>
        <v>-13437.869230769233</v>
      </c>
      <c r="AB26" s="55">
        <f t="shared" si="8"/>
        <v>-13437.869230769233</v>
      </c>
      <c r="AC26" s="55">
        <f t="shared" si="8"/>
        <v>-13437.869230769233</v>
      </c>
      <c r="AD26" s="55">
        <f t="shared" si="8"/>
        <v>-13437.869230769233</v>
      </c>
      <c r="AE26" s="55">
        <f t="shared" si="8"/>
        <v>-13437.869230769233</v>
      </c>
      <c r="AF26" s="55">
        <f t="shared" si="8"/>
        <v>-13437.869230769233</v>
      </c>
      <c r="AG26" s="55">
        <f t="shared" si="8"/>
        <v>-13437.869230769233</v>
      </c>
      <c r="AH26" s="55">
        <f t="shared" si="8"/>
        <v>-13437.869230769233</v>
      </c>
      <c r="AI26" s="55">
        <f t="shared" si="8"/>
        <v>-13437.869230769233</v>
      </c>
      <c r="AJ26" s="55">
        <f t="shared" si="8"/>
        <v>-13437.869230769233</v>
      </c>
      <c r="AK26" s="55">
        <f t="shared" si="8"/>
        <v>-13437.869230769233</v>
      </c>
      <c r="AL26" s="55">
        <f t="shared" si="8"/>
        <v>-13437.869230769233</v>
      </c>
      <c r="AM26" s="55">
        <f t="shared" si="8"/>
        <v>-13437.869230769233</v>
      </c>
      <c r="AN26" s="55">
        <f t="shared" si="8"/>
        <v>-13437.869230769233</v>
      </c>
      <c r="AO26" s="55">
        <f t="shared" si="8"/>
        <v>-13437.869230769233</v>
      </c>
      <c r="AP26" s="55">
        <f t="shared" si="8"/>
        <v>-13437.869230769233</v>
      </c>
      <c r="AQ26" s="55">
        <f t="shared" si="8"/>
        <v>-13437.869230769233</v>
      </c>
      <c r="AR26" s="55">
        <f t="shared" si="8"/>
        <v>-13437.869230769233</v>
      </c>
      <c r="AS26" s="55">
        <f t="shared" si="8"/>
        <v>-13437.869230769233</v>
      </c>
      <c r="AT26" s="55">
        <f t="shared" si="8"/>
        <v>-13437.869230769233</v>
      </c>
      <c r="AU26" s="55">
        <f t="shared" si="8"/>
        <v>-13437.869230769233</v>
      </c>
      <c r="AV26" s="55">
        <f t="shared" si="8"/>
        <v>-13437.869230769233</v>
      </c>
      <c r="AW26" s="55">
        <f t="shared" si="8"/>
        <v>-13437.869230769233</v>
      </c>
      <c r="AX26" s="55">
        <f t="shared" si="8"/>
        <v>-13437.869230769233</v>
      </c>
      <c r="AY26" s="55">
        <f t="shared" si="8"/>
        <v>-13437.869230769233</v>
      </c>
      <c r="AZ26" s="55">
        <f t="shared" si="8"/>
        <v>-13437.869230769233</v>
      </c>
      <c r="BA26" s="55">
        <f t="shared" si="8"/>
        <v>-13437.869230769233</v>
      </c>
      <c r="BB26" s="55">
        <f t="shared" si="8"/>
        <v>-13437.869230769233</v>
      </c>
      <c r="BC26" s="66">
        <f>SUM(C26:BB26)</f>
        <v>-706596.31999999983</v>
      </c>
    </row>
    <row r="27" spans="2:55" ht="15.75" thickTop="1" x14ac:dyDescent="0.25"/>
    <row r="28" spans="2:55" x14ac:dyDescent="0.25">
      <c r="B28" s="46" t="s">
        <v>231</v>
      </c>
      <c r="C28" s="32">
        <f>C26*'Revenue Assumptions'!$F$4*-1</f>
        <v>0</v>
      </c>
      <c r="D28" s="32">
        <f>D26*'Revenue Assumptions'!$F$4*-1</f>
        <v>0</v>
      </c>
      <c r="E28" s="32">
        <f>E26*'Revenue Assumptions'!$F$4*-1</f>
        <v>0</v>
      </c>
      <c r="F28" s="32">
        <f>F26*'Revenue Assumptions'!$F$4*-1</f>
        <v>0</v>
      </c>
      <c r="G28" s="32">
        <f>G26*'Revenue Assumptions'!$F$4*-1</f>
        <v>0</v>
      </c>
      <c r="H28" s="32">
        <f>H26*'Revenue Assumptions'!$F$4*-1</f>
        <v>0</v>
      </c>
      <c r="I28" s="32">
        <f>I26*'Revenue Assumptions'!$F$4*-1</f>
        <v>0</v>
      </c>
      <c r="J28" s="32">
        <f>J26*'Revenue Assumptions'!$F$4*-1</f>
        <v>0</v>
      </c>
      <c r="K28" s="32">
        <f>K26*'Revenue Assumptions'!$F$4*-1</f>
        <v>0</v>
      </c>
      <c r="L28" s="32">
        <f>L26*'Revenue Assumptions'!$F$4*-1</f>
        <v>0</v>
      </c>
      <c r="M28" s="32">
        <f>M26*'Revenue Assumptions'!$F$4*-1</f>
        <v>0</v>
      </c>
      <c r="N28" s="32">
        <f>N26*'Revenue Assumptions'!$F$4*-1</f>
        <v>0</v>
      </c>
      <c r="O28" s="32">
        <f>O26*'Revenue Assumptions'!$F$4*-1</f>
        <v>0</v>
      </c>
      <c r="P28" s="32">
        <f>P26*'Revenue Assumptions'!$F$4*-1</f>
        <v>0</v>
      </c>
      <c r="Q28" s="32">
        <f>Q26*'Revenue Assumptions'!$F$4*-1</f>
        <v>0</v>
      </c>
      <c r="R28" s="32">
        <f>R26*'Revenue Assumptions'!$F$4*-1</f>
        <v>0</v>
      </c>
      <c r="S28" s="32">
        <f>S26*'Revenue Assumptions'!$F$4*-1</f>
        <v>0</v>
      </c>
      <c r="T28" s="32">
        <f>T26*'Revenue Assumptions'!$F$4*-1</f>
        <v>0</v>
      </c>
      <c r="U28" s="32">
        <f>U26*'Revenue Assumptions'!$F$4*-1</f>
        <v>0</v>
      </c>
      <c r="V28" s="32">
        <f>V26*'Revenue Assumptions'!$F$4*-1</f>
        <v>0</v>
      </c>
      <c r="W28" s="32">
        <f>W26*'Revenue Assumptions'!$F$4*-1</f>
        <v>0</v>
      </c>
      <c r="X28" s="32">
        <f>X26*'Revenue Assumptions'!$F$4*-1</f>
        <v>0</v>
      </c>
      <c r="Y28" s="32">
        <f>Y26*'Revenue Assumptions'!$F$4*-1</f>
        <v>0</v>
      </c>
      <c r="Z28" s="32">
        <f>Z26*'Revenue Assumptions'!$F$4*-1</f>
        <v>0</v>
      </c>
      <c r="AA28" s="32">
        <f>AA26*'Revenue Assumptions'!$F$4*-1</f>
        <v>0</v>
      </c>
      <c r="AB28" s="32">
        <f>AB26*'Revenue Assumptions'!$F$4*-1</f>
        <v>0</v>
      </c>
      <c r="AC28" s="32">
        <f>AC26*'Revenue Assumptions'!$F$4*-1</f>
        <v>0</v>
      </c>
      <c r="AD28" s="32">
        <f>AD26*'Revenue Assumptions'!$F$4*-1</f>
        <v>0</v>
      </c>
      <c r="AE28" s="32">
        <f>AE26*'Revenue Assumptions'!$F$4*-1</f>
        <v>0</v>
      </c>
      <c r="AF28" s="32">
        <f>AF26*'Revenue Assumptions'!$F$4*-1</f>
        <v>0</v>
      </c>
      <c r="AG28" s="32">
        <f>AG26*'Revenue Assumptions'!$F$4*-1</f>
        <v>0</v>
      </c>
      <c r="AH28" s="32">
        <f>AH26*'Revenue Assumptions'!$F$4*-1</f>
        <v>0</v>
      </c>
      <c r="AI28" s="32">
        <f>AI26*'Revenue Assumptions'!$F$4*-1</f>
        <v>0</v>
      </c>
      <c r="AJ28" s="32">
        <f>AJ26*'Revenue Assumptions'!$F$4*-1</f>
        <v>0</v>
      </c>
      <c r="AK28" s="32">
        <f>AK26*'Revenue Assumptions'!$F$4*-1</f>
        <v>0</v>
      </c>
      <c r="AL28" s="32">
        <f>AL26*'Revenue Assumptions'!$F$4*-1</f>
        <v>0</v>
      </c>
      <c r="AM28" s="32">
        <f>AM26*'Revenue Assumptions'!$F$4*-1</f>
        <v>0</v>
      </c>
      <c r="AN28" s="32">
        <f>AN26*'Revenue Assumptions'!$F$4*-1</f>
        <v>0</v>
      </c>
      <c r="AO28" s="32">
        <f>AO26*'Revenue Assumptions'!$F$4*-1</f>
        <v>0</v>
      </c>
      <c r="AP28" s="32">
        <f>AP26*'Revenue Assumptions'!$F$4*-1</f>
        <v>0</v>
      </c>
      <c r="AQ28" s="32">
        <f>AQ26*'Revenue Assumptions'!$F$4*-1</f>
        <v>0</v>
      </c>
      <c r="AR28" s="32">
        <f>AR26*'Revenue Assumptions'!$F$4*-1</f>
        <v>0</v>
      </c>
      <c r="AS28" s="32">
        <f>AS26*'Revenue Assumptions'!$F$4*-1</f>
        <v>0</v>
      </c>
      <c r="AT28" s="32">
        <f>AT26*'Revenue Assumptions'!$F$4*-1</f>
        <v>0</v>
      </c>
      <c r="AU28" s="32">
        <f>AU26*'Revenue Assumptions'!$F$4*-1</f>
        <v>0</v>
      </c>
      <c r="AV28" s="32">
        <f>AV26*'Revenue Assumptions'!$F$4*-1</f>
        <v>0</v>
      </c>
      <c r="AW28" s="32">
        <f>AW26*'Revenue Assumptions'!$F$4*-1</f>
        <v>0</v>
      </c>
      <c r="AX28" s="32">
        <f>AX26*'Revenue Assumptions'!$F$4*-1</f>
        <v>0</v>
      </c>
      <c r="AY28" s="32">
        <f>AY26*'Revenue Assumptions'!$F$4*-1</f>
        <v>0</v>
      </c>
      <c r="AZ28" s="32">
        <f>AZ26*'Revenue Assumptions'!$F$4*-1</f>
        <v>0</v>
      </c>
      <c r="BA28" s="32">
        <f>BA26*'Revenue Assumptions'!$F$4*-1</f>
        <v>0</v>
      </c>
      <c r="BB28" s="32">
        <f>BB26*'Revenue Assumptions'!$F$4*-1</f>
        <v>0</v>
      </c>
      <c r="BC28" s="51">
        <f t="shared" si="0"/>
        <v>0</v>
      </c>
    </row>
    <row r="29" spans="2:55" x14ac:dyDescent="0.25">
      <c r="BC29" s="8"/>
    </row>
    <row r="30" spans="2:55" ht="15.75" thickBot="1" x14ac:dyDescent="0.3">
      <c r="B30" s="29" t="s">
        <v>232</v>
      </c>
      <c r="C30" s="30">
        <f t="shared" ref="C30:AH30" si="9">C26+C28</f>
        <v>-12568.189230769232</v>
      </c>
      <c r="D30" s="30">
        <f t="shared" si="9"/>
        <v>-15177.229230769233</v>
      </c>
      <c r="E30" s="30">
        <f t="shared" si="9"/>
        <v>-15177.229230769233</v>
      </c>
      <c r="F30" s="30">
        <f t="shared" si="9"/>
        <v>-15177.229230769233</v>
      </c>
      <c r="G30" s="30">
        <f t="shared" si="9"/>
        <v>-14307.549230769233</v>
      </c>
      <c r="H30" s="30">
        <f t="shared" si="9"/>
        <v>-14307.549230769233</v>
      </c>
      <c r="I30" s="30">
        <f t="shared" si="9"/>
        <v>-14307.549230769233</v>
      </c>
      <c r="J30" s="30">
        <f t="shared" si="9"/>
        <v>-14307.549230769233</v>
      </c>
      <c r="K30" s="30">
        <f t="shared" si="9"/>
        <v>-13437.869230769233</v>
      </c>
      <c r="L30" s="30">
        <f t="shared" si="9"/>
        <v>-13437.869230769233</v>
      </c>
      <c r="M30" s="30">
        <f t="shared" si="9"/>
        <v>-13437.869230769233</v>
      </c>
      <c r="N30" s="30">
        <f t="shared" si="9"/>
        <v>-13437.869230769233</v>
      </c>
      <c r="O30" s="30">
        <f t="shared" si="9"/>
        <v>-13437.869230769233</v>
      </c>
      <c r="P30" s="30">
        <f t="shared" si="9"/>
        <v>-13437.869230769233</v>
      </c>
      <c r="Q30" s="30">
        <f t="shared" si="9"/>
        <v>-13437.869230769233</v>
      </c>
      <c r="R30" s="30">
        <f t="shared" si="9"/>
        <v>-13437.869230769233</v>
      </c>
      <c r="S30" s="30">
        <f t="shared" si="9"/>
        <v>-13437.869230769233</v>
      </c>
      <c r="T30" s="30">
        <f t="shared" si="9"/>
        <v>-13437.869230769233</v>
      </c>
      <c r="U30" s="30">
        <f t="shared" si="9"/>
        <v>-13437.869230769233</v>
      </c>
      <c r="V30" s="30">
        <f t="shared" si="9"/>
        <v>-13437.869230769233</v>
      </c>
      <c r="W30" s="30">
        <f t="shared" si="9"/>
        <v>-13437.869230769233</v>
      </c>
      <c r="X30" s="30">
        <f t="shared" si="9"/>
        <v>-13437.869230769233</v>
      </c>
      <c r="Y30" s="30">
        <f t="shared" si="9"/>
        <v>-13437.869230769233</v>
      </c>
      <c r="Z30" s="30">
        <f t="shared" si="9"/>
        <v>-13437.869230769233</v>
      </c>
      <c r="AA30" s="30">
        <f t="shared" si="9"/>
        <v>-13437.869230769233</v>
      </c>
      <c r="AB30" s="30">
        <f t="shared" si="9"/>
        <v>-13437.869230769233</v>
      </c>
      <c r="AC30" s="30">
        <f t="shared" si="9"/>
        <v>-13437.869230769233</v>
      </c>
      <c r="AD30" s="30">
        <f t="shared" si="9"/>
        <v>-13437.869230769233</v>
      </c>
      <c r="AE30" s="30">
        <f t="shared" si="9"/>
        <v>-13437.869230769233</v>
      </c>
      <c r="AF30" s="30">
        <f t="shared" si="9"/>
        <v>-13437.869230769233</v>
      </c>
      <c r="AG30" s="30">
        <f t="shared" si="9"/>
        <v>-13437.869230769233</v>
      </c>
      <c r="AH30" s="30">
        <f t="shared" si="9"/>
        <v>-13437.869230769233</v>
      </c>
      <c r="AI30" s="30">
        <f t="shared" ref="AI30:BC30" si="10">AI26+AI28</f>
        <v>-13437.869230769233</v>
      </c>
      <c r="AJ30" s="30">
        <f t="shared" si="10"/>
        <v>-13437.869230769233</v>
      </c>
      <c r="AK30" s="30">
        <f t="shared" si="10"/>
        <v>-13437.869230769233</v>
      </c>
      <c r="AL30" s="30">
        <f t="shared" si="10"/>
        <v>-13437.869230769233</v>
      </c>
      <c r="AM30" s="30">
        <f t="shared" si="10"/>
        <v>-13437.869230769233</v>
      </c>
      <c r="AN30" s="30">
        <f t="shared" si="10"/>
        <v>-13437.869230769233</v>
      </c>
      <c r="AO30" s="30">
        <f t="shared" si="10"/>
        <v>-13437.869230769233</v>
      </c>
      <c r="AP30" s="30">
        <f t="shared" si="10"/>
        <v>-13437.869230769233</v>
      </c>
      <c r="AQ30" s="30">
        <f t="shared" si="10"/>
        <v>-13437.869230769233</v>
      </c>
      <c r="AR30" s="30">
        <f t="shared" si="10"/>
        <v>-13437.869230769233</v>
      </c>
      <c r="AS30" s="30">
        <f t="shared" si="10"/>
        <v>-13437.869230769233</v>
      </c>
      <c r="AT30" s="30">
        <f t="shared" si="10"/>
        <v>-13437.869230769233</v>
      </c>
      <c r="AU30" s="30">
        <f t="shared" si="10"/>
        <v>-13437.869230769233</v>
      </c>
      <c r="AV30" s="30">
        <f t="shared" si="10"/>
        <v>-13437.869230769233</v>
      </c>
      <c r="AW30" s="30">
        <f t="shared" si="10"/>
        <v>-13437.869230769233</v>
      </c>
      <c r="AX30" s="30">
        <f t="shared" si="10"/>
        <v>-13437.869230769233</v>
      </c>
      <c r="AY30" s="30">
        <f t="shared" si="10"/>
        <v>-13437.869230769233</v>
      </c>
      <c r="AZ30" s="30">
        <f t="shared" si="10"/>
        <v>-13437.869230769233</v>
      </c>
      <c r="BA30" s="30">
        <f t="shared" si="10"/>
        <v>-13437.869230769233</v>
      </c>
      <c r="BB30" s="30">
        <f t="shared" si="10"/>
        <v>-13437.869230769233</v>
      </c>
      <c r="BC30" s="52">
        <f t="shared" si="10"/>
        <v>-706596.31999999983</v>
      </c>
    </row>
    <row r="31" spans="2:55" ht="15.75" thickTop="1" x14ac:dyDescent="0.25">
      <c r="B31" s="74" t="s">
        <v>356</v>
      </c>
      <c r="C31" s="76">
        <f>C30/C9</f>
        <v>-0.40805809190809189</v>
      </c>
      <c r="D31" s="76">
        <f t="shared" ref="D31:BC31" si="11">D30/D9</f>
        <v>-0.67755487637362644</v>
      </c>
      <c r="E31" s="76">
        <f t="shared" si="11"/>
        <v>-0.67755487637362644</v>
      </c>
      <c r="F31" s="76">
        <f t="shared" si="11"/>
        <v>-0.67755487637362644</v>
      </c>
      <c r="G31" s="76">
        <f t="shared" si="11"/>
        <v>-0.56775989010989014</v>
      </c>
      <c r="H31" s="76">
        <f t="shared" si="11"/>
        <v>-0.56775989010989014</v>
      </c>
      <c r="I31" s="76">
        <f t="shared" si="11"/>
        <v>-0.56775989010989014</v>
      </c>
      <c r="J31" s="76">
        <f t="shared" si="11"/>
        <v>-0.56775989010989014</v>
      </c>
      <c r="K31" s="76">
        <f t="shared" si="11"/>
        <v>-0.47992390109890115</v>
      </c>
      <c r="L31" s="76">
        <f t="shared" si="11"/>
        <v>-0.47992390109890115</v>
      </c>
      <c r="M31" s="76">
        <f t="shared" si="11"/>
        <v>-0.47992390109890115</v>
      </c>
      <c r="N31" s="76">
        <f t="shared" si="11"/>
        <v>-0.47992390109890115</v>
      </c>
      <c r="O31" s="76">
        <f t="shared" si="11"/>
        <v>-0.47992390109890115</v>
      </c>
      <c r="P31" s="76">
        <f t="shared" si="11"/>
        <v>-0.47992390109890115</v>
      </c>
      <c r="Q31" s="76">
        <f t="shared" si="11"/>
        <v>-0.47992390109890115</v>
      </c>
      <c r="R31" s="76">
        <f t="shared" si="11"/>
        <v>-0.47992390109890115</v>
      </c>
      <c r="S31" s="76">
        <f t="shared" si="11"/>
        <v>-0.47992390109890115</v>
      </c>
      <c r="T31" s="76">
        <f t="shared" si="11"/>
        <v>-0.47992390109890115</v>
      </c>
      <c r="U31" s="76">
        <f t="shared" si="11"/>
        <v>-0.47992390109890115</v>
      </c>
      <c r="V31" s="76">
        <f t="shared" si="11"/>
        <v>-0.47992390109890115</v>
      </c>
      <c r="W31" s="76">
        <f t="shared" si="11"/>
        <v>-0.47992390109890115</v>
      </c>
      <c r="X31" s="76">
        <f t="shared" si="11"/>
        <v>-0.47992390109890115</v>
      </c>
      <c r="Y31" s="76">
        <f t="shared" si="11"/>
        <v>-0.47992390109890115</v>
      </c>
      <c r="Z31" s="76">
        <f t="shared" si="11"/>
        <v>-0.47992390109890115</v>
      </c>
      <c r="AA31" s="76">
        <f t="shared" si="11"/>
        <v>-0.47992390109890115</v>
      </c>
      <c r="AB31" s="76">
        <f t="shared" si="11"/>
        <v>-0.47992390109890115</v>
      </c>
      <c r="AC31" s="76">
        <f t="shared" si="11"/>
        <v>-0.47992390109890115</v>
      </c>
      <c r="AD31" s="76">
        <f t="shared" si="11"/>
        <v>-0.47992390109890115</v>
      </c>
      <c r="AE31" s="76">
        <f t="shared" si="11"/>
        <v>-0.47992390109890115</v>
      </c>
      <c r="AF31" s="76">
        <f t="shared" si="11"/>
        <v>-0.47992390109890115</v>
      </c>
      <c r="AG31" s="76">
        <f t="shared" si="11"/>
        <v>-0.47992390109890115</v>
      </c>
      <c r="AH31" s="76">
        <f t="shared" si="11"/>
        <v>-0.47992390109890115</v>
      </c>
      <c r="AI31" s="76">
        <f t="shared" si="11"/>
        <v>-0.47992390109890115</v>
      </c>
      <c r="AJ31" s="76">
        <f t="shared" si="11"/>
        <v>-0.47992390109890115</v>
      </c>
      <c r="AK31" s="76">
        <f t="shared" si="11"/>
        <v>-0.47992390109890115</v>
      </c>
      <c r="AL31" s="76">
        <f t="shared" si="11"/>
        <v>-0.47992390109890115</v>
      </c>
      <c r="AM31" s="76">
        <f t="shared" si="11"/>
        <v>-0.47992390109890115</v>
      </c>
      <c r="AN31" s="76">
        <f t="shared" si="11"/>
        <v>-0.47992390109890115</v>
      </c>
      <c r="AO31" s="76">
        <f t="shared" si="11"/>
        <v>-0.47992390109890115</v>
      </c>
      <c r="AP31" s="76">
        <f t="shared" si="11"/>
        <v>-0.47992390109890115</v>
      </c>
      <c r="AQ31" s="76">
        <f t="shared" si="11"/>
        <v>-0.47992390109890115</v>
      </c>
      <c r="AR31" s="76">
        <f t="shared" si="11"/>
        <v>-0.47992390109890115</v>
      </c>
      <c r="AS31" s="76">
        <f t="shared" si="11"/>
        <v>-0.47992390109890115</v>
      </c>
      <c r="AT31" s="76">
        <f t="shared" si="11"/>
        <v>-0.47992390109890115</v>
      </c>
      <c r="AU31" s="76">
        <f t="shared" si="11"/>
        <v>-0.47992390109890115</v>
      </c>
      <c r="AV31" s="76">
        <f t="shared" si="11"/>
        <v>-0.47992390109890115</v>
      </c>
      <c r="AW31" s="76">
        <f t="shared" si="11"/>
        <v>-0.47992390109890115</v>
      </c>
      <c r="AX31" s="76">
        <f t="shared" si="11"/>
        <v>-0.47992390109890115</v>
      </c>
      <c r="AY31" s="76">
        <f t="shared" si="11"/>
        <v>-0.47992390109890115</v>
      </c>
      <c r="AZ31" s="76">
        <f t="shared" si="11"/>
        <v>-0.47992390109890115</v>
      </c>
      <c r="BA31" s="76">
        <f t="shared" si="11"/>
        <v>-0.47992390109890115</v>
      </c>
      <c r="BB31" s="76">
        <f t="shared" si="11"/>
        <v>-0.47992390109890115</v>
      </c>
      <c r="BC31" s="76">
        <f t="shared" si="11"/>
        <v>-0.49384702264467417</v>
      </c>
    </row>
  </sheetData>
  <pageMargins left="0.7" right="0.7" top="0.75" bottom="0.75" header="0.3" footer="0.3"/>
  <pageSetup orientation="portrait" r:id="rId1"/>
  <headerFooter>
    <oddFooter>&amp;R&amp;8Created by: Fair Food Network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</vt:lpstr>
      <vt:lpstr>Lease Information</vt:lpstr>
      <vt:lpstr>Revenue Assumptions</vt:lpstr>
      <vt:lpstr>Start-Up Expense Assumptions</vt:lpstr>
      <vt:lpstr>Operating Expense Assumptions</vt:lpstr>
      <vt:lpstr>Financing Assumptions</vt:lpstr>
      <vt:lpstr>Summary Dashboard</vt:lpstr>
      <vt:lpstr>Income Statement (Yr)</vt:lpstr>
      <vt:lpstr>Income Statement (Weekly - Y1)</vt:lpstr>
      <vt:lpstr>Income Statement (Seasonality)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ianka</dc:creator>
  <cp:lastModifiedBy>Jean Chorazyczewski</cp:lastModifiedBy>
  <dcterms:created xsi:type="dcterms:W3CDTF">2018-05-01T16:28:44Z</dcterms:created>
  <dcterms:modified xsi:type="dcterms:W3CDTF">2021-08-04T14:22:41Z</dcterms:modified>
</cp:coreProperties>
</file>